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usiness Services\Public\Business Services Forms\Accounts Payable\"/>
    </mc:Choice>
  </mc:AlternateContent>
  <bookViews>
    <workbookView xWindow="0" yWindow="0" windowWidth="25200" windowHeight="11550"/>
  </bookViews>
  <sheets>
    <sheet name="Form 7027" sheetId="1" r:id="rId1"/>
  </sheets>
  <definedNames>
    <definedName name="_xlnm._FilterDatabase" localSheetId="0" hidden="1">'Form 7027'!$A$6:$A$141</definedName>
    <definedName name="Form_date_earliest">'Form 7027'!$K$209</definedName>
    <definedName name="Form_date_latest">'Form 7027'!$L$209</definedName>
    <definedName name="Meal_limits">'Form 7027'!$P$30:$T$33</definedName>
    <definedName name="New_mi_rate">'Form 7027'!$Q$160</definedName>
    <definedName name="New_mi_rate_miles">'Form 7027'!$R$160</definedName>
    <definedName name="Old_meal_rates_end_date">'Form 7027'!$Q$27</definedName>
    <definedName name="Old_mi_end_date">'Form 7027'!$S$156</definedName>
    <definedName name="Old_mi_rate">'Form 7027'!$Q$158</definedName>
    <definedName name="Old_mi_rate_miles">'Form 7027'!$R$158</definedName>
    <definedName name="_xlnm.Print_Area" localSheetId="0">'Form 7027'!$B$2:$N$164</definedName>
    <definedName name="_xlnm.Print_Titles" localSheetId="0">'Form 7027'!$2:$9</definedName>
    <definedName name="Revision_date">'Form 7027'!$N$164</definedName>
  </definedNames>
  <calcPr calcId="162913"/>
</workbook>
</file>

<file path=xl/calcChain.xml><?xml version="1.0" encoding="utf-8"?>
<calcChain xmlns="http://schemas.openxmlformats.org/spreadsheetml/2006/main">
  <c r="D197" i="1" l="1"/>
  <c r="P160" i="1"/>
  <c r="A139" i="1"/>
  <c r="A141" i="1"/>
  <c r="A136" i="1"/>
  <c r="A137" i="1"/>
  <c r="A133" i="1"/>
  <c r="A134" i="1"/>
  <c r="A130" i="1"/>
  <c r="A131" i="1"/>
  <c r="A127" i="1"/>
  <c r="A129" i="1"/>
  <c r="A124" i="1"/>
  <c r="A126" i="1"/>
  <c r="A121" i="1"/>
  <c r="A123" i="1"/>
  <c r="A118" i="1"/>
  <c r="A120" i="1"/>
  <c r="A115" i="1"/>
  <c r="A116" i="1"/>
  <c r="A112" i="1"/>
  <c r="A113" i="1"/>
  <c r="A109" i="1"/>
  <c r="A110" i="1"/>
  <c r="A106" i="1"/>
  <c r="A107" i="1"/>
  <c r="A103" i="1"/>
  <c r="A105" i="1"/>
  <c r="A100" i="1"/>
  <c r="A102" i="1"/>
  <c r="A97" i="1"/>
  <c r="A99" i="1"/>
  <c r="A94" i="1"/>
  <c r="A96" i="1"/>
  <c r="A91" i="1"/>
  <c r="A92" i="1"/>
  <c r="A88" i="1"/>
  <c r="A89" i="1"/>
  <c r="A85" i="1"/>
  <c r="A86" i="1"/>
  <c r="A82" i="1"/>
  <c r="A83" i="1"/>
  <c r="A79" i="1"/>
  <c r="A81" i="1"/>
  <c r="A76" i="1"/>
  <c r="A78" i="1"/>
  <c r="A73" i="1"/>
  <c r="A74" i="1"/>
  <c r="A70" i="1"/>
  <c r="A71" i="1"/>
  <c r="A67" i="1"/>
  <c r="A69" i="1"/>
  <c r="A64" i="1"/>
  <c r="A65" i="1"/>
  <c r="A61" i="1"/>
  <c r="A62" i="1"/>
  <c r="A58" i="1"/>
  <c r="A59" i="1"/>
  <c r="A55" i="1"/>
  <c r="A57" i="1"/>
  <c r="A52" i="1"/>
  <c r="A54" i="1"/>
  <c r="A49" i="1"/>
  <c r="A51" i="1"/>
  <c r="A46" i="1"/>
  <c r="A47" i="1"/>
  <c r="A43" i="1"/>
  <c r="A44" i="1"/>
  <c r="A40" i="1"/>
  <c r="A41" i="1"/>
  <c r="A37" i="1"/>
  <c r="A38" i="1"/>
  <c r="A34" i="1"/>
  <c r="A35" i="1"/>
  <c r="A31" i="1"/>
  <c r="A33" i="1"/>
  <c r="A28" i="1"/>
  <c r="A30" i="1"/>
  <c r="A75" i="1"/>
  <c r="A132" i="1"/>
  <c r="A108" i="1"/>
  <c r="A98" i="1"/>
  <c r="A93" i="1"/>
  <c r="A140" i="1"/>
  <c r="A45" i="1"/>
  <c r="A60" i="1"/>
  <c r="A48" i="1"/>
  <c r="A117" i="1"/>
  <c r="A90" i="1"/>
  <c r="A138" i="1"/>
  <c r="A39" i="1"/>
  <c r="A95" i="1"/>
  <c r="A29" i="1"/>
  <c r="A42" i="1"/>
  <c r="A50" i="1"/>
  <c r="A87" i="1"/>
  <c r="A119" i="1"/>
  <c r="A63" i="1"/>
  <c r="A72" i="1"/>
  <c r="A66" i="1"/>
  <c r="A111" i="1"/>
  <c r="A135" i="1"/>
  <c r="A68" i="1"/>
  <c r="A114" i="1"/>
  <c r="A122" i="1"/>
  <c r="A36" i="1"/>
  <c r="A84" i="1"/>
  <c r="A53" i="1"/>
  <c r="A77" i="1"/>
  <c r="A101" i="1"/>
  <c r="A125" i="1"/>
  <c r="A104" i="1"/>
  <c r="A32" i="1"/>
  <c r="A56" i="1"/>
  <c r="A80" i="1"/>
  <c r="A128" i="1"/>
  <c r="C205" i="1"/>
  <c r="D231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C204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Y28" i="1"/>
  <c r="AB28" i="1"/>
  <c r="Y141" i="1"/>
  <c r="Y140" i="1"/>
  <c r="Y139" i="1"/>
  <c r="Z139" i="1"/>
  <c r="Y138" i="1"/>
  <c r="Y137" i="1"/>
  <c r="Y136" i="1"/>
  <c r="Z136" i="1"/>
  <c r="Y135" i="1"/>
  <c r="Y134" i="1"/>
  <c r="Y133" i="1"/>
  <c r="Z133" i="1"/>
  <c r="Y132" i="1"/>
  <c r="Y131" i="1"/>
  <c r="Y130" i="1"/>
  <c r="Z130" i="1"/>
  <c r="Y129" i="1"/>
  <c r="Y128" i="1"/>
  <c r="Y127" i="1"/>
  <c r="Z127" i="1"/>
  <c r="Y126" i="1"/>
  <c r="Y125" i="1"/>
  <c r="Y124" i="1"/>
  <c r="Z124" i="1"/>
  <c r="Y123" i="1"/>
  <c r="Y122" i="1"/>
  <c r="Y121" i="1"/>
  <c r="Z121" i="1"/>
  <c r="Y120" i="1"/>
  <c r="Y119" i="1"/>
  <c r="Y118" i="1"/>
  <c r="Z118" i="1"/>
  <c r="Y117" i="1"/>
  <c r="Y116" i="1"/>
  <c r="Y115" i="1"/>
  <c r="Z115" i="1"/>
  <c r="Y114" i="1"/>
  <c r="Y113" i="1"/>
  <c r="Y112" i="1"/>
  <c r="Z112" i="1"/>
  <c r="Y111" i="1"/>
  <c r="Y110" i="1"/>
  <c r="Y109" i="1"/>
  <c r="Z109" i="1"/>
  <c r="Y108" i="1"/>
  <c r="Y107" i="1"/>
  <c r="Y106" i="1"/>
  <c r="Z106" i="1"/>
  <c r="Y105" i="1"/>
  <c r="Y104" i="1"/>
  <c r="Y103" i="1"/>
  <c r="Z103" i="1"/>
  <c r="Y102" i="1"/>
  <c r="Y101" i="1"/>
  <c r="Y100" i="1"/>
  <c r="Z100" i="1"/>
  <c r="Y99" i="1"/>
  <c r="Y98" i="1"/>
  <c r="Y97" i="1"/>
  <c r="Z97" i="1"/>
  <c r="Y96" i="1"/>
  <c r="Y95" i="1"/>
  <c r="Y94" i="1"/>
  <c r="Z94" i="1"/>
  <c r="Y93" i="1"/>
  <c r="Y92" i="1"/>
  <c r="Y91" i="1"/>
  <c r="Z91" i="1"/>
  <c r="Y90" i="1"/>
  <c r="Y89" i="1"/>
  <c r="Y88" i="1"/>
  <c r="Z88" i="1"/>
  <c r="Y87" i="1"/>
  <c r="Y86" i="1"/>
  <c r="Y85" i="1"/>
  <c r="Z85" i="1"/>
  <c r="Y84" i="1"/>
  <c r="Y83" i="1"/>
  <c r="Y82" i="1"/>
  <c r="Z82" i="1"/>
  <c r="Y81" i="1"/>
  <c r="Y80" i="1"/>
  <c r="Y79" i="1"/>
  <c r="Z79" i="1"/>
  <c r="Y78" i="1"/>
  <c r="Y77" i="1"/>
  <c r="Y76" i="1"/>
  <c r="Z76" i="1"/>
  <c r="Y75" i="1"/>
  <c r="Y74" i="1"/>
  <c r="Y73" i="1"/>
  <c r="Z73" i="1"/>
  <c r="Y72" i="1"/>
  <c r="Y71" i="1"/>
  <c r="Y70" i="1"/>
  <c r="Z70" i="1"/>
  <c r="Y69" i="1"/>
  <c r="Y68" i="1"/>
  <c r="Y67" i="1"/>
  <c r="Z67" i="1"/>
  <c r="Y66" i="1"/>
  <c r="Y65" i="1"/>
  <c r="Y64" i="1"/>
  <c r="Z64" i="1"/>
  <c r="Y63" i="1"/>
  <c r="Y62" i="1"/>
  <c r="Y61" i="1"/>
  <c r="Z61" i="1"/>
  <c r="Y60" i="1"/>
  <c r="Y59" i="1"/>
  <c r="Y58" i="1"/>
  <c r="Z58" i="1"/>
  <c r="Y57" i="1"/>
  <c r="Y56" i="1"/>
  <c r="Y55" i="1"/>
  <c r="Z55" i="1"/>
  <c r="Y54" i="1"/>
  <c r="Y53" i="1"/>
  <c r="Y52" i="1"/>
  <c r="Z52" i="1"/>
  <c r="Y51" i="1"/>
  <c r="Y50" i="1"/>
  <c r="Y49" i="1"/>
  <c r="Z49" i="1"/>
  <c r="Y48" i="1"/>
  <c r="Y47" i="1"/>
  <c r="Y46" i="1"/>
  <c r="Z46" i="1"/>
  <c r="Y45" i="1"/>
  <c r="Y44" i="1"/>
  <c r="Y43" i="1"/>
  <c r="Z43" i="1"/>
  <c r="Y42" i="1"/>
  <c r="Y41" i="1"/>
  <c r="Y40" i="1"/>
  <c r="Z40" i="1"/>
  <c r="Y39" i="1"/>
  <c r="Y38" i="1"/>
  <c r="Y37" i="1"/>
  <c r="Z37" i="1"/>
  <c r="Y36" i="1"/>
  <c r="Y35" i="1"/>
  <c r="Y34" i="1"/>
  <c r="Z34" i="1"/>
  <c r="Y33" i="1"/>
  <c r="Y32" i="1"/>
  <c r="Y31" i="1"/>
  <c r="AB31" i="1"/>
  <c r="Y30" i="1"/>
  <c r="Y29" i="1"/>
  <c r="AH123" i="1"/>
  <c r="AE123" i="1"/>
  <c r="AD123" i="1"/>
  <c r="AC123" i="1"/>
  <c r="AA123" i="1"/>
  <c r="AH122" i="1"/>
  <c r="AE122" i="1"/>
  <c r="AD122" i="1"/>
  <c r="AC122" i="1"/>
  <c r="AA122" i="1"/>
  <c r="AH121" i="1"/>
  <c r="AE121" i="1"/>
  <c r="AD121" i="1"/>
  <c r="AC121" i="1"/>
  <c r="AA121" i="1"/>
  <c r="AH120" i="1"/>
  <c r="AE120" i="1"/>
  <c r="AD120" i="1"/>
  <c r="AC120" i="1"/>
  <c r="AA120" i="1"/>
  <c r="AH119" i="1"/>
  <c r="AE119" i="1"/>
  <c r="AD119" i="1"/>
  <c r="AC119" i="1"/>
  <c r="AA119" i="1"/>
  <c r="AH118" i="1"/>
  <c r="AE118" i="1"/>
  <c r="AD118" i="1"/>
  <c r="AC118" i="1"/>
  <c r="AA118" i="1"/>
  <c r="AH117" i="1"/>
  <c r="AE117" i="1"/>
  <c r="AD117" i="1"/>
  <c r="AC117" i="1"/>
  <c r="AA117" i="1"/>
  <c r="AH116" i="1"/>
  <c r="AE116" i="1"/>
  <c r="AD116" i="1"/>
  <c r="AC116" i="1"/>
  <c r="AA116" i="1"/>
  <c r="AH115" i="1"/>
  <c r="AE115" i="1"/>
  <c r="AD115" i="1"/>
  <c r="AC115" i="1"/>
  <c r="AH114" i="1"/>
  <c r="AE114" i="1"/>
  <c r="AD114" i="1"/>
  <c r="AC114" i="1"/>
  <c r="AA114" i="1"/>
  <c r="AH113" i="1"/>
  <c r="AE113" i="1"/>
  <c r="AD113" i="1"/>
  <c r="AC113" i="1"/>
  <c r="AA113" i="1"/>
  <c r="AH112" i="1"/>
  <c r="AE112" i="1"/>
  <c r="AD112" i="1"/>
  <c r="AC112" i="1"/>
  <c r="AH111" i="1"/>
  <c r="AE111" i="1"/>
  <c r="AD111" i="1"/>
  <c r="AC111" i="1"/>
  <c r="AA111" i="1"/>
  <c r="AH110" i="1"/>
  <c r="AE110" i="1"/>
  <c r="AD110" i="1"/>
  <c r="AC110" i="1"/>
  <c r="AA110" i="1"/>
  <c r="AH109" i="1"/>
  <c r="AE109" i="1"/>
  <c r="AD109" i="1"/>
  <c r="AC109" i="1"/>
  <c r="AA109" i="1"/>
  <c r="AH108" i="1"/>
  <c r="AE108" i="1"/>
  <c r="AD108" i="1"/>
  <c r="AC108" i="1"/>
  <c r="AA108" i="1"/>
  <c r="AH107" i="1"/>
  <c r="AE107" i="1"/>
  <c r="AD107" i="1"/>
  <c r="AC107" i="1"/>
  <c r="AA107" i="1"/>
  <c r="AH106" i="1"/>
  <c r="AE106" i="1"/>
  <c r="AD106" i="1"/>
  <c r="AC106" i="1"/>
  <c r="AA106" i="1"/>
  <c r="AH105" i="1"/>
  <c r="AE105" i="1"/>
  <c r="AD105" i="1"/>
  <c r="AC105" i="1"/>
  <c r="AA105" i="1"/>
  <c r="AH104" i="1"/>
  <c r="AE104" i="1"/>
  <c r="AD104" i="1"/>
  <c r="AC104" i="1"/>
  <c r="AA104" i="1"/>
  <c r="AH103" i="1"/>
  <c r="AE103" i="1"/>
  <c r="AD103" i="1"/>
  <c r="AC103" i="1"/>
  <c r="AA103" i="1"/>
  <c r="AH102" i="1"/>
  <c r="AE102" i="1"/>
  <c r="AD102" i="1"/>
  <c r="AC102" i="1"/>
  <c r="AA102" i="1"/>
  <c r="AH101" i="1"/>
  <c r="AE101" i="1"/>
  <c r="AD101" i="1"/>
  <c r="AC101" i="1"/>
  <c r="AA101" i="1"/>
  <c r="AH100" i="1"/>
  <c r="AE100" i="1"/>
  <c r="AD100" i="1"/>
  <c r="AC100" i="1"/>
  <c r="AA100" i="1"/>
  <c r="AH138" i="1"/>
  <c r="AE138" i="1"/>
  <c r="AD138" i="1"/>
  <c r="AC138" i="1"/>
  <c r="AA138" i="1"/>
  <c r="AH137" i="1"/>
  <c r="AE137" i="1"/>
  <c r="AD137" i="1"/>
  <c r="AC137" i="1"/>
  <c r="AA137" i="1"/>
  <c r="AH136" i="1"/>
  <c r="AE136" i="1"/>
  <c r="AD136" i="1"/>
  <c r="AC136" i="1"/>
  <c r="AA136" i="1"/>
  <c r="AH135" i="1"/>
  <c r="AE135" i="1"/>
  <c r="AD135" i="1"/>
  <c r="AC135" i="1"/>
  <c r="AA135" i="1"/>
  <c r="AH134" i="1"/>
  <c r="AE134" i="1"/>
  <c r="AD134" i="1"/>
  <c r="AC134" i="1"/>
  <c r="AA134" i="1"/>
  <c r="AH133" i="1"/>
  <c r="AE133" i="1"/>
  <c r="AD133" i="1"/>
  <c r="AC133" i="1"/>
  <c r="AA133" i="1"/>
  <c r="AH132" i="1"/>
  <c r="AE132" i="1"/>
  <c r="AD132" i="1"/>
  <c r="AC132" i="1"/>
  <c r="AA132" i="1"/>
  <c r="AH131" i="1"/>
  <c r="AE131" i="1"/>
  <c r="AD131" i="1"/>
  <c r="AC131" i="1"/>
  <c r="AA131" i="1"/>
  <c r="AH130" i="1"/>
  <c r="AE130" i="1"/>
  <c r="AD130" i="1"/>
  <c r="AC130" i="1"/>
  <c r="AA130" i="1"/>
  <c r="AH129" i="1"/>
  <c r="AE129" i="1"/>
  <c r="AD129" i="1"/>
  <c r="AC129" i="1"/>
  <c r="AA129" i="1"/>
  <c r="AH128" i="1"/>
  <c r="AE128" i="1"/>
  <c r="AD128" i="1"/>
  <c r="AC128" i="1"/>
  <c r="AA128" i="1"/>
  <c r="AH127" i="1"/>
  <c r="AE127" i="1"/>
  <c r="AD127" i="1"/>
  <c r="AC127" i="1"/>
  <c r="AA127" i="1"/>
  <c r="AH126" i="1"/>
  <c r="AE126" i="1"/>
  <c r="AD126" i="1"/>
  <c r="AC126" i="1"/>
  <c r="AA126" i="1"/>
  <c r="AH125" i="1"/>
  <c r="AE125" i="1"/>
  <c r="AD125" i="1"/>
  <c r="AC125" i="1"/>
  <c r="AA125" i="1"/>
  <c r="AH124" i="1"/>
  <c r="AE124" i="1"/>
  <c r="AD124" i="1"/>
  <c r="AC124" i="1"/>
  <c r="AA124" i="1"/>
  <c r="AH99" i="1"/>
  <c r="AE99" i="1"/>
  <c r="AD99" i="1"/>
  <c r="AC99" i="1"/>
  <c r="AA99" i="1"/>
  <c r="AH98" i="1"/>
  <c r="AE98" i="1"/>
  <c r="AD98" i="1"/>
  <c r="AC98" i="1"/>
  <c r="AA98" i="1"/>
  <c r="AH97" i="1"/>
  <c r="AE97" i="1"/>
  <c r="AD97" i="1"/>
  <c r="AC97" i="1"/>
  <c r="AA97" i="1"/>
  <c r="AH96" i="1"/>
  <c r="AE96" i="1"/>
  <c r="AD96" i="1"/>
  <c r="AC96" i="1"/>
  <c r="AA96" i="1"/>
  <c r="AH95" i="1"/>
  <c r="AE95" i="1"/>
  <c r="AD95" i="1"/>
  <c r="AC95" i="1"/>
  <c r="AA95" i="1"/>
  <c r="AH94" i="1"/>
  <c r="AE94" i="1"/>
  <c r="AD94" i="1"/>
  <c r="AC94" i="1"/>
  <c r="AA94" i="1"/>
  <c r="AH93" i="1"/>
  <c r="AE93" i="1"/>
  <c r="AD93" i="1"/>
  <c r="AC93" i="1"/>
  <c r="AA93" i="1"/>
  <c r="AH92" i="1"/>
  <c r="AE92" i="1"/>
  <c r="AD92" i="1"/>
  <c r="AC92" i="1"/>
  <c r="AA92" i="1"/>
  <c r="AH91" i="1"/>
  <c r="AE91" i="1"/>
  <c r="AD91" i="1"/>
  <c r="AC91" i="1"/>
  <c r="AA91" i="1"/>
  <c r="AH90" i="1"/>
  <c r="AE90" i="1"/>
  <c r="AD90" i="1"/>
  <c r="AC90" i="1"/>
  <c r="AA90" i="1"/>
  <c r="AH89" i="1"/>
  <c r="AE89" i="1"/>
  <c r="AD89" i="1"/>
  <c r="AC89" i="1"/>
  <c r="AA89" i="1"/>
  <c r="AH88" i="1"/>
  <c r="AE88" i="1"/>
  <c r="AD88" i="1"/>
  <c r="AC88" i="1"/>
  <c r="AA88" i="1"/>
  <c r="AH87" i="1"/>
  <c r="AE87" i="1"/>
  <c r="AD87" i="1"/>
  <c r="AC87" i="1"/>
  <c r="AA87" i="1"/>
  <c r="AH86" i="1"/>
  <c r="AE86" i="1"/>
  <c r="AD86" i="1"/>
  <c r="AC86" i="1"/>
  <c r="AA86" i="1"/>
  <c r="AH85" i="1"/>
  <c r="AE85" i="1"/>
  <c r="AD85" i="1"/>
  <c r="AC85" i="1"/>
  <c r="AA85" i="1"/>
  <c r="AH84" i="1"/>
  <c r="AE84" i="1"/>
  <c r="AD84" i="1"/>
  <c r="AC84" i="1"/>
  <c r="AA84" i="1"/>
  <c r="AH83" i="1"/>
  <c r="AE83" i="1"/>
  <c r="AD83" i="1"/>
  <c r="AC83" i="1"/>
  <c r="AA83" i="1"/>
  <c r="AH82" i="1"/>
  <c r="AE82" i="1"/>
  <c r="AD82" i="1"/>
  <c r="AC82" i="1"/>
  <c r="AA82" i="1"/>
  <c r="AH81" i="1"/>
  <c r="AE81" i="1"/>
  <c r="AD81" i="1"/>
  <c r="AC81" i="1"/>
  <c r="AA81" i="1"/>
  <c r="AH80" i="1"/>
  <c r="AE80" i="1"/>
  <c r="AD80" i="1"/>
  <c r="AC80" i="1"/>
  <c r="AA80" i="1"/>
  <c r="AH79" i="1"/>
  <c r="AE79" i="1"/>
  <c r="AD79" i="1"/>
  <c r="AC79" i="1"/>
  <c r="AA79" i="1"/>
  <c r="AH78" i="1"/>
  <c r="AE78" i="1"/>
  <c r="AD78" i="1"/>
  <c r="AC78" i="1"/>
  <c r="AA78" i="1"/>
  <c r="AH77" i="1"/>
  <c r="AE77" i="1"/>
  <c r="AD77" i="1"/>
  <c r="AC77" i="1"/>
  <c r="AA77" i="1"/>
  <c r="AH76" i="1"/>
  <c r="AE76" i="1"/>
  <c r="AD76" i="1"/>
  <c r="AC76" i="1"/>
  <c r="AA76" i="1"/>
  <c r="AH75" i="1"/>
  <c r="AE75" i="1"/>
  <c r="AD75" i="1"/>
  <c r="AC75" i="1"/>
  <c r="AA75" i="1"/>
  <c r="AH74" i="1"/>
  <c r="AE74" i="1"/>
  <c r="AD74" i="1"/>
  <c r="AC74" i="1"/>
  <c r="AA74" i="1"/>
  <c r="AH73" i="1"/>
  <c r="AE73" i="1"/>
  <c r="AD73" i="1"/>
  <c r="AC73" i="1"/>
  <c r="AA73" i="1"/>
  <c r="AH72" i="1"/>
  <c r="AE72" i="1"/>
  <c r="AD72" i="1"/>
  <c r="AC72" i="1"/>
  <c r="AA72" i="1"/>
  <c r="AH71" i="1"/>
  <c r="AE71" i="1"/>
  <c r="AD71" i="1"/>
  <c r="AC71" i="1"/>
  <c r="AA71" i="1"/>
  <c r="AH70" i="1"/>
  <c r="AE70" i="1"/>
  <c r="AD70" i="1"/>
  <c r="AC70" i="1"/>
  <c r="AH69" i="1"/>
  <c r="AE69" i="1"/>
  <c r="AD69" i="1"/>
  <c r="AC69" i="1"/>
  <c r="AA69" i="1"/>
  <c r="AH68" i="1"/>
  <c r="AE68" i="1"/>
  <c r="AD68" i="1"/>
  <c r="AC68" i="1"/>
  <c r="AA68" i="1"/>
  <c r="AH67" i="1"/>
  <c r="AE67" i="1"/>
  <c r="AD67" i="1"/>
  <c r="AC67" i="1"/>
  <c r="AA67" i="1"/>
  <c r="AH66" i="1"/>
  <c r="AE66" i="1"/>
  <c r="AD66" i="1"/>
  <c r="AC66" i="1"/>
  <c r="AA66" i="1"/>
  <c r="AH65" i="1"/>
  <c r="AE65" i="1"/>
  <c r="AD65" i="1"/>
  <c r="AC65" i="1"/>
  <c r="AA65" i="1"/>
  <c r="AH64" i="1"/>
  <c r="AE64" i="1"/>
  <c r="AD64" i="1"/>
  <c r="AC64" i="1"/>
  <c r="AA64" i="1"/>
  <c r="AH63" i="1"/>
  <c r="AE63" i="1"/>
  <c r="AD63" i="1"/>
  <c r="AC63" i="1"/>
  <c r="AA63" i="1"/>
  <c r="AH62" i="1"/>
  <c r="AE62" i="1"/>
  <c r="AD62" i="1"/>
  <c r="AC62" i="1"/>
  <c r="AA62" i="1"/>
  <c r="AH61" i="1"/>
  <c r="AE61" i="1"/>
  <c r="AD61" i="1"/>
  <c r="AC61" i="1"/>
  <c r="AA61" i="1"/>
  <c r="AH60" i="1"/>
  <c r="AE60" i="1"/>
  <c r="AD60" i="1"/>
  <c r="AC60" i="1"/>
  <c r="AA60" i="1"/>
  <c r="AH59" i="1"/>
  <c r="AE59" i="1"/>
  <c r="AD59" i="1"/>
  <c r="AC59" i="1"/>
  <c r="AA59" i="1"/>
  <c r="AH58" i="1"/>
  <c r="AE58" i="1"/>
  <c r="AD58" i="1"/>
  <c r="AC58" i="1"/>
  <c r="AA58" i="1"/>
  <c r="Z31" i="1"/>
  <c r="Z28" i="1"/>
  <c r="AH57" i="1"/>
  <c r="AE57" i="1"/>
  <c r="AD57" i="1"/>
  <c r="AC57" i="1"/>
  <c r="AA57" i="1"/>
  <c r="AH56" i="1"/>
  <c r="AE56" i="1"/>
  <c r="AD56" i="1"/>
  <c r="AC56" i="1"/>
  <c r="AA56" i="1"/>
  <c r="AH55" i="1"/>
  <c r="AE55" i="1"/>
  <c r="AD55" i="1"/>
  <c r="AC55" i="1"/>
  <c r="AA55" i="1"/>
  <c r="AH54" i="1"/>
  <c r="AE54" i="1"/>
  <c r="AD54" i="1"/>
  <c r="AC54" i="1"/>
  <c r="AA54" i="1"/>
  <c r="AH53" i="1"/>
  <c r="AE53" i="1"/>
  <c r="AD53" i="1"/>
  <c r="AC53" i="1"/>
  <c r="AA53" i="1"/>
  <c r="AH52" i="1"/>
  <c r="AE52" i="1"/>
  <c r="AD52" i="1"/>
  <c r="AC52" i="1"/>
  <c r="AA52" i="1"/>
  <c r="AH51" i="1"/>
  <c r="AE51" i="1"/>
  <c r="AD51" i="1"/>
  <c r="AC51" i="1"/>
  <c r="AA51" i="1"/>
  <c r="AH50" i="1"/>
  <c r="AE50" i="1"/>
  <c r="AD50" i="1"/>
  <c r="AC50" i="1"/>
  <c r="AA50" i="1"/>
  <c r="AH49" i="1"/>
  <c r="AE49" i="1"/>
  <c r="AD49" i="1"/>
  <c r="AC49" i="1"/>
  <c r="AA49" i="1"/>
  <c r="AH48" i="1"/>
  <c r="AE48" i="1"/>
  <c r="AD48" i="1"/>
  <c r="AC48" i="1"/>
  <c r="AA48" i="1"/>
  <c r="AH47" i="1"/>
  <c r="AE47" i="1"/>
  <c r="AD47" i="1"/>
  <c r="AC47" i="1"/>
  <c r="AA47" i="1"/>
  <c r="AH46" i="1"/>
  <c r="AE46" i="1"/>
  <c r="AD46" i="1"/>
  <c r="AC46" i="1"/>
  <c r="AA46" i="1"/>
  <c r="AH45" i="1"/>
  <c r="AE45" i="1"/>
  <c r="AD45" i="1"/>
  <c r="AC45" i="1"/>
  <c r="AA45" i="1"/>
  <c r="AH44" i="1"/>
  <c r="AE44" i="1"/>
  <c r="AD44" i="1"/>
  <c r="AC44" i="1"/>
  <c r="AA44" i="1"/>
  <c r="AH43" i="1"/>
  <c r="AE43" i="1"/>
  <c r="AD43" i="1"/>
  <c r="AC43" i="1"/>
  <c r="AA43" i="1"/>
  <c r="AH42" i="1"/>
  <c r="AE42" i="1"/>
  <c r="AD42" i="1"/>
  <c r="AC42" i="1"/>
  <c r="AA42" i="1"/>
  <c r="AH41" i="1"/>
  <c r="AE41" i="1"/>
  <c r="AD41" i="1"/>
  <c r="AC41" i="1"/>
  <c r="AA41" i="1"/>
  <c r="AH40" i="1"/>
  <c r="AE40" i="1"/>
  <c r="AD40" i="1"/>
  <c r="AC40" i="1"/>
  <c r="AA40" i="1"/>
  <c r="AH39" i="1"/>
  <c r="AE39" i="1"/>
  <c r="AD39" i="1"/>
  <c r="AC39" i="1"/>
  <c r="AA39" i="1"/>
  <c r="AH38" i="1"/>
  <c r="AE38" i="1"/>
  <c r="AD38" i="1"/>
  <c r="AC38" i="1"/>
  <c r="AA38" i="1"/>
  <c r="AH37" i="1"/>
  <c r="AE37" i="1"/>
  <c r="AD37" i="1"/>
  <c r="AC37" i="1"/>
  <c r="AA37" i="1"/>
  <c r="AH36" i="1"/>
  <c r="AE36" i="1"/>
  <c r="AD36" i="1"/>
  <c r="AC36" i="1"/>
  <c r="AA36" i="1"/>
  <c r="AH35" i="1"/>
  <c r="AE35" i="1"/>
  <c r="AD35" i="1"/>
  <c r="AC35" i="1"/>
  <c r="AA35" i="1"/>
  <c r="AH34" i="1"/>
  <c r="AE34" i="1"/>
  <c r="AD34" i="1"/>
  <c r="AC34" i="1"/>
  <c r="AA34" i="1"/>
  <c r="AH33" i="1"/>
  <c r="AE33" i="1"/>
  <c r="AD33" i="1"/>
  <c r="AC33" i="1"/>
  <c r="AA33" i="1"/>
  <c r="AH32" i="1"/>
  <c r="AE32" i="1"/>
  <c r="AD32" i="1"/>
  <c r="AC32" i="1"/>
  <c r="AA32" i="1"/>
  <c r="AH31" i="1"/>
  <c r="AE31" i="1"/>
  <c r="AD31" i="1"/>
  <c r="AC31" i="1"/>
  <c r="AA31" i="1"/>
  <c r="AH30" i="1"/>
  <c r="AE30" i="1"/>
  <c r="AD30" i="1"/>
  <c r="AC30" i="1"/>
  <c r="AA30" i="1"/>
  <c r="AH29" i="1"/>
  <c r="AE29" i="1"/>
  <c r="AD29" i="1"/>
  <c r="AC29" i="1"/>
  <c r="AA29" i="1"/>
  <c r="AH28" i="1"/>
  <c r="AE28" i="1"/>
  <c r="AD28" i="1"/>
  <c r="AC28" i="1"/>
  <c r="AA28" i="1"/>
  <c r="AH141" i="1"/>
  <c r="AE141" i="1"/>
  <c r="AD141" i="1"/>
  <c r="AC141" i="1"/>
  <c r="AA141" i="1"/>
  <c r="AH140" i="1"/>
  <c r="AE140" i="1"/>
  <c r="AD140" i="1"/>
  <c r="AC140" i="1"/>
  <c r="AA140" i="1"/>
  <c r="AH139" i="1"/>
  <c r="AE139" i="1"/>
  <c r="AD139" i="1"/>
  <c r="AC139" i="1"/>
  <c r="AA139" i="1"/>
  <c r="AH27" i="1"/>
  <c r="AE27" i="1"/>
  <c r="AD27" i="1"/>
  <c r="AC27" i="1"/>
  <c r="AA27" i="1"/>
  <c r="AH26" i="1"/>
  <c r="AE26" i="1"/>
  <c r="AD26" i="1"/>
  <c r="AC26" i="1"/>
  <c r="AA26" i="1"/>
  <c r="AH25" i="1"/>
  <c r="AE25" i="1"/>
  <c r="AD25" i="1"/>
  <c r="AC25" i="1"/>
  <c r="AA25" i="1"/>
  <c r="E143" i="1"/>
  <c r="D214" i="1"/>
  <c r="N6" i="1"/>
  <c r="C230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B34" i="1"/>
  <c r="C238" i="1"/>
  <c r="C231" i="1"/>
  <c r="C219" i="1"/>
  <c r="C220" i="1"/>
  <c r="C223" i="1"/>
  <c r="C224" i="1"/>
  <c r="C226" i="1"/>
  <c r="C222" i="1"/>
  <c r="AB37" i="1"/>
  <c r="C225" i="1"/>
  <c r="C221" i="1"/>
  <c r="AB40" i="1"/>
  <c r="AA24" i="1"/>
  <c r="AA23" i="1"/>
  <c r="AA22" i="1"/>
  <c r="AA21" i="1"/>
  <c r="AA20" i="1"/>
  <c r="AA19" i="1"/>
  <c r="AA18" i="1"/>
  <c r="AA17" i="1"/>
  <c r="AA16" i="1"/>
  <c r="AA15" i="1"/>
  <c r="AA14" i="1"/>
  <c r="AA12" i="1"/>
  <c r="AA11" i="1"/>
  <c r="L209" i="1"/>
  <c r="K209" i="1"/>
  <c r="C203" i="1"/>
  <c r="I144" i="1"/>
  <c r="K144" i="1"/>
  <c r="M144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G10" i="1"/>
  <c r="AF12" i="1"/>
  <c r="AF11" i="1"/>
  <c r="AF10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D24" i="1"/>
  <c r="AC24" i="1"/>
  <c r="AD23" i="1"/>
  <c r="AC23" i="1"/>
  <c r="AD22" i="1"/>
  <c r="AC22" i="1"/>
  <c r="AD21" i="1"/>
  <c r="AC21" i="1"/>
  <c r="AD20" i="1"/>
  <c r="AC20" i="1"/>
  <c r="AD19" i="1"/>
  <c r="AC19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A70" i="1"/>
  <c r="AA115" i="1"/>
  <c r="AA112" i="1"/>
  <c r="AB43" i="1"/>
  <c r="AA13" i="1"/>
  <c r="C214" i="1"/>
  <c r="C234" i="1"/>
  <c r="C211" i="1"/>
  <c r="AA10" i="1"/>
  <c r="C213" i="1"/>
  <c r="C212" i="1"/>
  <c r="AB46" i="1"/>
  <c r="C209" i="1"/>
  <c r="C235" i="1"/>
  <c r="C236" i="1"/>
  <c r="C237" i="1"/>
  <c r="C239" i="1"/>
  <c r="AB49" i="1"/>
  <c r="C202" i="1"/>
  <c r="J3" i="1" s="1"/>
  <c r="S156" i="1"/>
  <c r="P158" i="1"/>
  <c r="AB52" i="1"/>
  <c r="R160" i="1"/>
  <c r="R158" i="1"/>
  <c r="N143" i="1"/>
  <c r="N151" i="1"/>
  <c r="N156" i="1"/>
  <c r="C218" i="1"/>
  <c r="F143" i="1"/>
  <c r="AB55" i="1"/>
  <c r="AB58" i="1"/>
  <c r="C215" i="1"/>
  <c r="C216" i="1"/>
  <c r="C227" i="1"/>
  <c r="C240" i="1"/>
  <c r="AB61" i="1"/>
  <c r="C217" i="1"/>
  <c r="O22" i="1"/>
  <c r="O25" i="1"/>
  <c r="O13" i="1"/>
  <c r="O16" i="1"/>
  <c r="O19" i="1"/>
  <c r="O10" i="1"/>
  <c r="O7" i="1"/>
  <c r="AB64" i="1"/>
  <c r="Z19" i="1"/>
  <c r="AB19" i="1"/>
  <c r="AB10" i="1"/>
  <c r="Z10" i="1"/>
  <c r="C207" i="1"/>
  <c r="AB13" i="1"/>
  <c r="Z13" i="1"/>
  <c r="AB22" i="1"/>
  <c r="Z22" i="1"/>
  <c r="Z16" i="1"/>
  <c r="AB16" i="1"/>
  <c r="AB25" i="1"/>
  <c r="Z25" i="1"/>
  <c r="AB67" i="1"/>
  <c r="C208" i="1"/>
  <c r="AB70" i="1"/>
  <c r="AB73" i="1"/>
  <c r="AB76" i="1"/>
  <c r="AB79" i="1"/>
  <c r="AB82" i="1"/>
  <c r="AB85" i="1"/>
  <c r="AB88" i="1"/>
  <c r="AB91" i="1"/>
  <c r="AB94" i="1"/>
  <c r="AB97" i="1"/>
  <c r="AB103" i="1"/>
  <c r="AB100" i="1"/>
  <c r="AB115" i="1"/>
  <c r="AB109" i="1"/>
  <c r="AB106" i="1"/>
  <c r="AB112" i="1"/>
  <c r="AB118" i="1"/>
  <c r="C206" i="1"/>
  <c r="AB121" i="1"/>
  <c r="AB124" i="1"/>
  <c r="AB127" i="1"/>
  <c r="AB130" i="1"/>
  <c r="AB133" i="1"/>
  <c r="AB139" i="1"/>
  <c r="AB136" i="1"/>
  <c r="C210" i="1"/>
  <c r="C228" i="1"/>
  <c r="C229" i="1"/>
</calcChain>
</file>

<file path=xl/sharedStrings.xml><?xml version="1.0" encoding="utf-8"?>
<sst xmlns="http://schemas.openxmlformats.org/spreadsheetml/2006/main" count="223" uniqueCount="195">
  <si>
    <t>Select 1 before printing V</t>
  </si>
  <si>
    <t>==========================V</t>
  </si>
  <si>
    <r>
      <t>Mileage Table, Meal, and Mileage rates</t>
    </r>
    <r>
      <rPr>
        <sz val="12"/>
        <color rgb="FF0033CC"/>
        <rFont val="Arial"/>
        <family val="2"/>
      </rPr>
      <t xml:space="preserve"> =============================================================================V</t>
    </r>
  </si>
  <si>
    <t>Name</t>
  </si>
  <si>
    <t>Employee ID</t>
  </si>
  <si>
    <t>EXPENSE CLAIM</t>
  </si>
  <si>
    <t>2018-2019</t>
  </si>
  <si>
    <t>Itemize by date</t>
  </si>
  <si>
    <t>LINE DIAGNOSTICS:</t>
  </si>
  <si>
    <t>NAME OF EMPLOYEE (Print or type)</t>
  </si>
  <si>
    <t>EMPLOYEE ID</t>
  </si>
  <si>
    <t>Post-Completion steps:</t>
  </si>
  <si>
    <t xml:space="preserve"> v- Date missing.</t>
  </si>
  <si>
    <t xml:space="preserve"> v- Explanation missing.</t>
  </si>
  <si>
    <t>V</t>
  </si>
  <si>
    <t>FILTER before printing - select 1</t>
  </si>
  <si>
    <t>FILTER</t>
  </si>
  <si>
    <t>Item</t>
  </si>
  <si>
    <t>DATE</t>
  </si>
  <si>
    <t>PURPOSE OF EXPENSE</t>
  </si>
  <si>
    <t>PERSONAL VEHICLE USE RECORD</t>
  </si>
  <si>
    <t>OUT-OF-POCKET EXPENSES</t>
  </si>
  <si>
    <t>Mileage Table, one way:</t>
  </si>
  <si>
    <t xml:space="preserve">puropse-v </t>
  </si>
  <si>
    <t xml:space="preserve"> v- From/To missing.</t>
  </si>
  <si>
    <t>Miles</t>
  </si>
  <si>
    <t>From</t>
  </si>
  <si>
    <t>To</t>
  </si>
  <si>
    <t>Meals</t>
  </si>
  <si>
    <t>Lodging</t>
  </si>
  <si>
    <t>Other</t>
  </si>
  <si>
    <t>TO</t>
  </si>
  <si>
    <t xml:space="preserve">meal type-v </t>
  </si>
  <si>
    <t xml:space="preserve"> v- meal exceeds limit.</t>
  </si>
  <si>
    <t>(Identify type                          and cost)</t>
  </si>
  <si>
    <t>(list cost and                     attach receipt)</t>
  </si>
  <si>
    <t>FROM</t>
  </si>
  <si>
    <t>BWC</t>
  </si>
  <si>
    <t>DO</t>
  </si>
  <si>
    <t>DVC</t>
  </si>
  <si>
    <t>CCC</t>
  </si>
  <si>
    <t>LMC</t>
  </si>
  <si>
    <t>SRC</t>
  </si>
  <si>
    <t>Address</t>
  </si>
  <si>
    <t xml:space="preserve">other-v </t>
  </si>
  <si>
    <t xml:space="preserve"> v- meal needs a receipt.</t>
  </si>
  <si>
    <t>Description</t>
  </si>
  <si>
    <t>Amount</t>
  </si>
  <si>
    <t>Brentwood Center (old)</t>
  </si>
  <si>
    <t>-</t>
  </si>
  <si>
    <t>101A Sand Creek Road, Brentwood, CA  94513</t>
  </si>
  <si>
    <t xml:space="preserve"> v- explain other meal.</t>
  </si>
  <si>
    <t>Contra Costa College (CCC)</t>
  </si>
  <si>
    <t>2600 Mission Bell Drive, San Pablo, CA. 94806</t>
  </si>
  <si>
    <t>Diablo Valley College (DVC)</t>
  </si>
  <si>
    <t>321 Golf Club Road, Pleasant Hill, CA 94523</t>
  </si>
  <si>
    <t>District Office (DO)</t>
  </si>
  <si>
    <t>500 Court Street, Martinez, CA  94553</t>
  </si>
  <si>
    <t>Los Medanos College LMC)</t>
  </si>
  <si>
    <t>2700 East Leland Road, Pittsburg, CA 94565</t>
  </si>
  <si>
    <t>San Ramon Center</t>
  </si>
  <si>
    <t>1690 Watermill Road, San Ramon, CA 94582</t>
  </si>
  <si>
    <t>California State, Hayward</t>
  </si>
  <si>
    <t>25800 Carlos Bee Boulevard, Hayward, CA 94542</t>
  </si>
  <si>
    <t>Chabot College</t>
  </si>
  <si>
    <t>25555 Hesperian Blvd. Hayward, CA. 94545</t>
  </si>
  <si>
    <t>Chancellor's Office, Sacramento</t>
  </si>
  <si>
    <t>1102 Q Street, Sacramento, CA 95811</t>
  </si>
  <si>
    <t>College of San Mateo</t>
  </si>
  <si>
    <t xml:space="preserve">1700 West Hillsdale Boulevard, San Mateo, CA 94402 </t>
  </si>
  <si>
    <t>Foothill College</t>
  </si>
  <si>
    <t>12345 El Monte Road, Los Altos Hills, CA 94022</t>
  </si>
  <si>
    <t>Merrit College</t>
  </si>
  <si>
    <t>12500 Campus Drive Oakland, CA 94619</t>
  </si>
  <si>
    <t>San Francisco City College</t>
  </si>
  <si>
    <t xml:space="preserve">50 Phelan Avenue, San Francisco, CA. 94112 </t>
  </si>
  <si>
    <t>San Francisco State College</t>
  </si>
  <si>
    <t>1600 Holloway Avenue . San Francisco . CA 94132</t>
  </si>
  <si>
    <t>San Jose State College</t>
  </si>
  <si>
    <t>One Washington Square, San Jose, CA 95192</t>
  </si>
  <si>
    <t>Stanford University</t>
  </si>
  <si>
    <t>701 Welch Rd #3328 Palo Alto, CA 94304</t>
  </si>
  <si>
    <t>University of CA, Berkeley</t>
  </si>
  <si>
    <t>1925 Walnut St Berkeley, California 94720</t>
  </si>
  <si>
    <t>Total                 Out-of-pocket Expenses</t>
  </si>
  <si>
    <t>Meal reimbursement limits:</t>
  </si>
  <si>
    <t>Meal type</t>
  </si>
  <si>
    <t>With receipt</t>
  </si>
  <si>
    <t>w/o receipt</t>
  </si>
  <si>
    <t>Breakfast</t>
  </si>
  <si>
    <t>Lunch</t>
  </si>
  <si>
    <t>Dinner</t>
  </si>
  <si>
    <t>Total miles</t>
  </si>
  <si>
    <t>Total meals</t>
  </si>
  <si>
    <t>Total lodging</t>
  </si>
  <si>
    <t>Total other</t>
  </si>
  <si>
    <t>DIRECT PAYMENT OF EXPENSE NOT INCLUDED IN TOTAL AMOUNT CLAIMED</t>
  </si>
  <si>
    <t>TRANSPORTATION EXPENSE:</t>
  </si>
  <si>
    <t>£</t>
  </si>
  <si>
    <t>Transportation or other - billed direct.  SPECIFY</t>
  </si>
  <si>
    <t>Round trip from / to</t>
  </si>
  <si>
    <t>Name of public carrier used (attach receipt)</t>
  </si>
  <si>
    <t>Total Transpor-tation Expenses</t>
  </si>
  <si>
    <t>OR</t>
  </si>
  <si>
    <t>Prepayments -- checks sent direct in advance.  SPECIFY</t>
  </si>
  <si>
    <t>Personal vehicle used in lieu of public carrier.</t>
  </si>
  <si>
    <t>Total Travel &amp; Meeting Expense</t>
  </si>
  <si>
    <t>I hereby certify that the above items constitute a true statement of actual and necessary expenses incurred in the performance of authorized duties</t>
  </si>
  <si>
    <t>Signature</t>
  </si>
  <si>
    <t>Date</t>
  </si>
  <si>
    <t>Budget Account</t>
  </si>
  <si>
    <t>00-00-000000-000000-00000</t>
  </si>
  <si>
    <t>Vehicle mileage reimbursement rates:</t>
  </si>
  <si>
    <t>Miles claimed</t>
  </si>
  <si>
    <t>G/L (enter with dashes)</t>
  </si>
  <si>
    <t>Reviewed by</t>
  </si>
  <si>
    <t>Department or Division Head</t>
  </si>
  <si>
    <t>Authorized by</t>
  </si>
  <si>
    <t>President or Designee</t>
  </si>
  <si>
    <t>&lt;&lt; Change this date when the new rates for the new year have been published by the IRS</t>
  </si>
  <si>
    <t>Rev.</t>
  </si>
  <si>
    <t>EXPENSE CLAIM TRACKING:</t>
  </si>
  <si>
    <t>Estimated Expenses?</t>
  </si>
  <si>
    <t>no</t>
  </si>
  <si>
    <t>Date submitted override.</t>
  </si>
  <si>
    <t>Reimbursement received.</t>
  </si>
  <si>
    <t>Date received.</t>
  </si>
  <si>
    <t>Filename:</t>
  </si>
  <si>
    <t>&lt; Check box open.</t>
  </si>
  <si>
    <t>T</t>
  </si>
  <si>
    <t>&lt; Check box checked.</t>
  </si>
  <si>
    <t>Edits:</t>
  </si>
  <si>
    <t>Start of edits.</t>
  </si>
  <si>
    <t>Copy this form to your C drive before using it.</t>
  </si>
  <si>
    <t>Form has EXPIRED.  Mileage rate not valid.  Download new Form 7027 off InSite Portal.</t>
  </si>
  <si>
    <t>Enter employee's name at top of form.</t>
  </si>
  <si>
    <t>Enter Employee ID at top of form.</t>
  </si>
  <si>
    <t>Unhide all rows.  There is data on hidden row(s).</t>
  </si>
  <si>
    <t>Enter expenses.</t>
  </si>
  <si>
    <t>Enter date for item being claimed.</t>
  </si>
  <si>
    <t>Expense DATE is not in current fiscal year.  Change date or use Form 7027 for that year.</t>
  </si>
  <si>
    <t>Enter an purpose for item being claimed.</t>
  </si>
  <si>
    <t>Enter "From" and "To" for vehicle mileage being claimed.</t>
  </si>
  <si>
    <t>Meal type is missing.</t>
  </si>
  <si>
    <t>Enter description for other expense(s).</t>
  </si>
  <si>
    <t>Enter Budget Account #1 for claimed expenses.</t>
  </si>
  <si>
    <t>Budget Account #1 is incomplete.</t>
  </si>
  <si>
    <t>Enter amount for Budget Account #1.</t>
  </si>
  <si>
    <t>Amount for Budget Account #1 must be positive.</t>
  </si>
  <si>
    <t>Enter Budget Account #2 for claimed expenses.</t>
  </si>
  <si>
    <t>Budget Account #2 is incomplete.</t>
  </si>
  <si>
    <t>Enter amount for Budget Account #2.</t>
  </si>
  <si>
    <t>Amount for Budget Account #2 must be positive.</t>
  </si>
  <si>
    <t>Enter Budget Account #3 for claimed expenses.</t>
  </si>
  <si>
    <t>Budget Account #3 is incomplete.</t>
  </si>
  <si>
    <t>Enter amount for Budget Account #3.</t>
  </si>
  <si>
    <t>Amount for Budget Account #3 must be positive.</t>
  </si>
  <si>
    <t>Budget Account amounts do not equal Total Expenses.</t>
  </si>
  <si>
    <t>Hide rows 70 through 141.</t>
  </si>
  <si>
    <t>Hide rows 115 through 141.</t>
  </si>
  <si>
    <t>Enter exployee's address in Cell $C$43.</t>
  </si>
  <si>
    <t xml:space="preserve"> </t>
  </si>
  <si>
    <t>End of normal edits</t>
  </si>
  <si>
    <t>Start of post-completion edits.</t>
  </si>
  <si>
    <t>**Attach original, dated meals receipts.</t>
  </si>
  <si>
    <t>x</t>
  </si>
  <si>
    <t>**Attach proof of mileage claimed from the internet,</t>
  </si>
  <si>
    <t>e.g. travel direction map service.</t>
  </si>
  <si>
    <t>**Attach approved travel authorization.</t>
  </si>
  <si>
    <t>**Explain other meals.</t>
  </si>
  <si>
    <t>**Attach original lodging receipts.</t>
  </si>
  <si>
    <t>**Sign and date form before submitting.</t>
  </si>
  <si>
    <t>Fiscal Year</t>
  </si>
  <si>
    <t>2017-2018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</si>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</sst>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yyyy"/>
    <numFmt numFmtId="166" formatCode="m/d/yy;@"/>
    <numFmt numFmtId="167" formatCode="mm/dd/yyyy"/>
    <numFmt numFmtId="168" formatCode="mm/dd/yy;@"/>
    <numFmt numFmtId="169" formatCode="0.000"/>
    <numFmt numFmtId="170" formatCode="0.0_);\(0.0\)"/>
    <numFmt numFmtId="171" formatCode="00\ \-\ 00\ \-\ 000000\ \-\ 000000\ \-\ 00000"/>
  </numFmts>
  <fonts count="35" x14ac:knownFonts="1">
    <font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2"/>
      <name val="Arial Narrow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rgb="FF0033CC"/>
      <name val="Arial"/>
      <family val="2"/>
    </font>
    <font>
      <b/>
      <sz val="10"/>
      <name val="Arial"/>
      <family val="2"/>
    </font>
    <font>
      <sz val="20"/>
      <name val="Wingdings 2"/>
      <family val="1"/>
      <charset val="2"/>
    </font>
    <font>
      <b/>
      <sz val="8"/>
      <name val="Arial"/>
      <family val="2"/>
    </font>
    <font>
      <b/>
      <sz val="10"/>
      <color rgb="FF0033CC"/>
      <name val="Arial"/>
      <family val="2"/>
    </font>
    <font>
      <b/>
      <sz val="11"/>
      <color indexed="10"/>
      <name val="Arial"/>
      <family val="2"/>
    </font>
    <font>
      <b/>
      <sz val="12"/>
      <color rgb="FFFF0000"/>
      <name val="Arial"/>
      <family val="2"/>
    </font>
    <font>
      <b/>
      <i/>
      <sz val="10"/>
      <name val="Arial"/>
      <family val="2"/>
    </font>
    <font>
      <b/>
      <sz val="12"/>
      <color rgb="FF0033CC"/>
      <name val="Arial"/>
      <family val="2"/>
    </font>
    <font>
      <sz val="12"/>
      <color rgb="FF0033CC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u val="singleAccounting"/>
      <sz val="14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8"/>
      <color rgb="FFFF0000"/>
      <name val="Arial"/>
      <family val="2"/>
    </font>
    <font>
      <b/>
      <sz val="8"/>
      <color rgb="FF0000FF"/>
      <name val="Arial"/>
      <family val="2"/>
    </font>
    <font>
      <b/>
      <sz val="10"/>
      <color rgb="FF0000FF"/>
      <name val="Arial"/>
      <family val="2"/>
    </font>
    <font>
      <b/>
      <i/>
      <sz val="10"/>
      <color rgb="FF0000FF"/>
      <name val="Arial"/>
      <family val="2"/>
    </font>
    <font>
      <sz val="10"/>
      <color rgb="FFFF0000"/>
      <name val="Arial"/>
      <family val="2"/>
    </font>
    <font>
      <b/>
      <u val="singleAccounting"/>
      <sz val="14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0">
    <xf numFmtId="0" fontId="0" fillId="0" borderId="0" xfId="0"/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2" fillId="0" borderId="0" xfId="0" applyFont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170" fontId="1" fillId="2" borderId="12" xfId="0" applyNumberFormat="1" applyFont="1" applyFill="1" applyBorder="1"/>
    <xf numFmtId="169" fontId="9" fillId="2" borderId="12" xfId="0" applyNumberFormat="1" applyFont="1" applyFill="1" applyBorder="1"/>
    <xf numFmtId="169" fontId="9" fillId="2" borderId="16" xfId="0" applyNumberFormat="1" applyFont="1" applyFill="1" applyBorder="1"/>
    <xf numFmtId="170" fontId="1" fillId="2" borderId="4" xfId="0" applyNumberFormat="1" applyFont="1" applyFill="1" applyBorder="1"/>
    <xf numFmtId="169" fontId="9" fillId="2" borderId="4" xfId="0" applyNumberFormat="1" applyFont="1" applyFill="1" applyBorder="1"/>
    <xf numFmtId="164" fontId="14" fillId="0" borderId="7" xfId="0" applyNumberFormat="1" applyFont="1" applyBorder="1" applyAlignment="1" applyProtection="1">
      <alignment horizontal="center" vertical="center"/>
      <protection locked="0"/>
    </xf>
    <xf numFmtId="164" fontId="14" fillId="0" borderId="7" xfId="0" applyNumberFormat="1" applyFont="1" applyBorder="1" applyAlignment="1" applyProtection="1">
      <alignment horizontal="center" vertical="top"/>
      <protection locked="0"/>
    </xf>
    <xf numFmtId="0" fontId="2" fillId="0" borderId="15" xfId="0" applyFont="1" applyBorder="1"/>
    <xf numFmtId="0" fontId="13" fillId="0" borderId="20" xfId="0" applyFont="1" applyBorder="1"/>
    <xf numFmtId="0" fontId="1" fillId="0" borderId="7" xfId="0" applyFont="1" applyBorder="1" applyProtection="1">
      <protection locked="0"/>
    </xf>
    <xf numFmtId="43" fontId="1" fillId="0" borderId="8" xfId="0" applyNumberFormat="1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23" fillId="0" borderId="20" xfId="0" applyFont="1" applyBorder="1"/>
    <xf numFmtId="0" fontId="0" fillId="0" borderId="10" xfId="0" applyBorder="1" applyProtection="1">
      <protection locked="0"/>
    </xf>
    <xf numFmtId="0" fontId="0" fillId="0" borderId="7" xfId="0" applyBorder="1" applyProtection="1">
      <protection locked="0"/>
    </xf>
    <xf numFmtId="0" fontId="21" fillId="0" borderId="0" xfId="0" quotePrefix="1" applyFont="1" applyAlignment="1">
      <alignment horizontal="right"/>
    </xf>
    <xf numFmtId="0" fontId="20" fillId="0" borderId="0" xfId="0" quotePrefix="1" applyFont="1" applyAlignment="1">
      <alignment horizontal="right"/>
    </xf>
    <xf numFmtId="0" fontId="18" fillId="0" borderId="0" xfId="0" applyFont="1"/>
    <xf numFmtId="0" fontId="23" fillId="0" borderId="0" xfId="0" applyFont="1"/>
    <xf numFmtId="0" fontId="6" fillId="2" borderId="0" xfId="0" applyFont="1" applyFill="1" applyAlignment="1">
      <alignment horizontal="right" vertical="top"/>
    </xf>
    <xf numFmtId="0" fontId="1" fillId="0" borderId="7" xfId="0" applyFont="1" applyBorder="1"/>
    <xf numFmtId="43" fontId="24" fillId="2" borderId="0" xfId="2" applyFont="1" applyFill="1"/>
    <xf numFmtId="0" fontId="1" fillId="0" borderId="0" xfId="0" applyFont="1" applyAlignment="1">
      <alignment horizontal="left" vertical="center"/>
    </xf>
    <xf numFmtId="0" fontId="1" fillId="2" borderId="21" xfId="0" applyFont="1" applyFill="1" applyBorder="1" applyAlignment="1">
      <alignment horizontal="center" vertical="center"/>
    </xf>
    <xf numFmtId="0" fontId="18" fillId="0" borderId="21" xfId="0" applyFont="1" applyBorder="1"/>
    <xf numFmtId="0" fontId="0" fillId="0" borderId="22" xfId="0" applyBorder="1" applyAlignment="1">
      <alignment horizontal="right"/>
    </xf>
    <xf numFmtId="0" fontId="1" fillId="0" borderId="22" xfId="0" applyFont="1" applyBorder="1"/>
    <xf numFmtId="0" fontId="0" fillId="0" borderId="22" xfId="0" applyBorder="1" applyAlignment="1">
      <alignment horizontal="center"/>
    </xf>
    <xf numFmtId="0" fontId="1" fillId="0" borderId="19" xfId="0" applyFont="1" applyBorder="1"/>
    <xf numFmtId="0" fontId="0" fillId="0" borderId="19" xfId="0" applyBorder="1"/>
    <xf numFmtId="0" fontId="0" fillId="0" borderId="18" xfId="0" applyBorder="1"/>
    <xf numFmtId="0" fontId="0" fillId="0" borderId="0" xfId="0" applyAlignment="1">
      <alignment horizontal="right"/>
    </xf>
    <xf numFmtId="0" fontId="13" fillId="0" borderId="7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0" fillId="0" borderId="15" xfId="0" applyBorder="1"/>
    <xf numFmtId="0" fontId="0" fillId="0" borderId="14" xfId="0" applyBorder="1"/>
    <xf numFmtId="0" fontId="2" fillId="0" borderId="0" xfId="0" applyFont="1" applyAlignment="1">
      <alignment horizontal="center"/>
    </xf>
    <xf numFmtId="0" fontId="2" fillId="0" borderId="14" xfId="0" applyFont="1" applyBorder="1"/>
    <xf numFmtId="0" fontId="0" fillId="0" borderId="37" xfId="0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15" xfId="0" applyFont="1" applyBorder="1"/>
    <xf numFmtId="0" fontId="16" fillId="0" borderId="0" xfId="0" applyFont="1" applyAlignment="1">
      <alignment horizontal="center"/>
    </xf>
    <xf numFmtId="0" fontId="1" fillId="0" borderId="14" xfId="0" applyFont="1" applyBorder="1"/>
    <xf numFmtId="0" fontId="1" fillId="0" borderId="7" xfId="0" applyFont="1" applyBorder="1" applyAlignment="1">
      <alignment horizontal="left" vertical="center" wrapText="1"/>
    </xf>
    <xf numFmtId="41" fontId="5" fillId="0" borderId="7" xfId="0" applyNumberFormat="1" applyFont="1" applyBorder="1"/>
    <xf numFmtId="41" fontId="5" fillId="0" borderId="0" xfId="0" applyNumberFormat="1" applyFont="1"/>
    <xf numFmtId="168" fontId="0" fillId="0" borderId="0" xfId="0" applyNumberFormat="1"/>
    <xf numFmtId="0" fontId="0" fillId="0" borderId="25" xfId="0" applyBorder="1"/>
    <xf numFmtId="0" fontId="1" fillId="0" borderId="13" xfId="0" applyFont="1" applyBorder="1"/>
    <xf numFmtId="0" fontId="16" fillId="0" borderId="12" xfId="0" applyFont="1" applyBorder="1" applyAlignment="1">
      <alignment horizontal="center"/>
    </xf>
    <xf numFmtId="0" fontId="1" fillId="0" borderId="11" xfId="0" applyFont="1" applyBorder="1"/>
    <xf numFmtId="43" fontId="0" fillId="0" borderId="25" xfId="0" applyNumberFormat="1" applyBorder="1"/>
    <xf numFmtId="0" fontId="0" fillId="0" borderId="10" xfId="0" applyBorder="1" applyAlignment="1">
      <alignment horizontal="left" indent="1"/>
    </xf>
    <xf numFmtId="0" fontId="0" fillId="0" borderId="9" xfId="0" applyBorder="1"/>
    <xf numFmtId="0" fontId="0" fillId="0" borderId="8" xfId="0" applyBorder="1"/>
    <xf numFmtId="165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6" xfId="0" applyBorder="1"/>
    <xf numFmtId="0" fontId="1" fillId="0" borderId="7" xfId="0" applyFont="1" applyBorder="1" applyAlignment="1">
      <alignment vertical="center"/>
    </xf>
    <xf numFmtId="0" fontId="2" fillId="0" borderId="14" xfId="0" applyFont="1" applyBorder="1" applyAlignment="1">
      <alignment horizontal="center"/>
    </xf>
    <xf numFmtId="0" fontId="0" fillId="0" borderId="7" xfId="0" applyBorder="1"/>
    <xf numFmtId="0" fontId="1" fillId="0" borderId="0" xfId="0" applyFont="1" applyAlignment="1">
      <alignment vertical="center"/>
    </xf>
    <xf numFmtId="0" fontId="0" fillId="0" borderId="24" xfId="0" applyBorder="1"/>
    <xf numFmtId="43" fontId="12" fillId="0" borderId="9" xfId="0" applyNumberFormat="1" applyFont="1" applyBorder="1"/>
    <xf numFmtId="43" fontId="0" fillId="0" borderId="23" xfId="0" applyNumberFormat="1" applyBorder="1"/>
    <xf numFmtId="43" fontId="0" fillId="0" borderId="0" xfId="0" applyNumberFormat="1"/>
    <xf numFmtId="0" fontId="1" fillId="0" borderId="7" xfId="0" applyFont="1" applyBorder="1" applyAlignment="1">
      <alignment horizontal="center"/>
    </xf>
    <xf numFmtId="43" fontId="12" fillId="0" borderId="0" xfId="0" applyNumberFormat="1" applyFont="1"/>
    <xf numFmtId="43" fontId="0" fillId="0" borderId="14" xfId="0" applyNumberFormat="1" applyBorder="1"/>
    <xf numFmtId="0" fontId="0" fillId="0" borderId="9" xfId="0" applyBorder="1" applyAlignment="1">
      <alignment vertical="center"/>
    </xf>
    <xf numFmtId="0" fontId="1" fillId="0" borderId="53" xfId="0" applyFont="1" applyBorder="1" applyAlignment="1">
      <alignment horizontal="center"/>
    </xf>
    <xf numFmtId="0" fontId="0" fillId="0" borderId="54" xfId="0" applyBorder="1" applyAlignment="1">
      <alignment vertical="center"/>
    </xf>
    <xf numFmtId="0" fontId="0" fillId="0" borderId="54" xfId="0" applyBorder="1"/>
    <xf numFmtId="0" fontId="13" fillId="2" borderId="54" xfId="0" applyFont="1" applyFill="1" applyBorder="1" applyAlignment="1">
      <alignment horizontal="right" indent="1"/>
    </xf>
    <xf numFmtId="44" fontId="13" fillId="0" borderId="55" xfId="1" applyFont="1" applyBorder="1"/>
    <xf numFmtId="0" fontId="0" fillId="0" borderId="13" xfId="0" applyBorder="1"/>
    <xf numFmtId="43" fontId="12" fillId="0" borderId="12" xfId="0" applyNumberFormat="1" applyFont="1" applyBorder="1"/>
    <xf numFmtId="43" fontId="12" fillId="0" borderId="11" xfId="0" applyNumberFormat="1" applyFont="1" applyBorder="1"/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0" fillId="0" borderId="43" xfId="0" applyBorder="1"/>
    <xf numFmtId="0" fontId="0" fillId="0" borderId="45" xfId="0" applyBorder="1"/>
    <xf numFmtId="0" fontId="1" fillId="0" borderId="0" xfId="0" applyFont="1" applyAlignment="1">
      <alignment horizontal="right"/>
    </xf>
    <xf numFmtId="39" fontId="10" fillId="0" borderId="0" xfId="0" applyNumberFormat="1" applyFont="1"/>
    <xf numFmtId="0" fontId="4" fillId="0" borderId="19" xfId="0" applyFont="1" applyBorder="1" applyAlignment="1">
      <alignment horizontal="right"/>
    </xf>
    <xf numFmtId="168" fontId="0" fillId="0" borderId="18" xfId="0" applyNumberFormat="1" applyBorder="1" applyAlignment="1">
      <alignment horizontal="center"/>
    </xf>
    <xf numFmtId="0" fontId="5" fillId="0" borderId="0" xfId="0" applyFont="1"/>
    <xf numFmtId="0" fontId="5" fillId="0" borderId="9" xfId="0" applyFont="1" applyBorder="1" applyAlignment="1">
      <alignment horizontal="right" indent="1"/>
    </xf>
    <xf numFmtId="0" fontId="1" fillId="2" borderId="17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0" fillId="0" borderId="0" xfId="0" applyAlignment="1">
      <alignment horizontal="left"/>
    </xf>
    <xf numFmtId="14" fontId="5" fillId="2" borderId="0" xfId="0" applyNumberFormat="1" applyFont="1" applyFill="1" applyAlignment="1">
      <alignment horizontal="right"/>
    </xf>
    <xf numFmtId="167" fontId="5" fillId="2" borderId="0" xfId="0" applyNumberFormat="1" applyFont="1" applyFill="1"/>
    <xf numFmtId="0" fontId="1" fillId="0" borderId="0" xfId="0" applyFont="1" applyAlignment="1">
      <alignment horizontal="left" indent="3"/>
    </xf>
    <xf numFmtId="0" fontId="0" fillId="0" borderId="0" xfId="0" applyAlignment="1">
      <alignment horizontal="left" indent="3"/>
    </xf>
    <xf numFmtId="165" fontId="2" fillId="0" borderId="0" xfId="0" applyNumberFormat="1" applyFont="1"/>
    <xf numFmtId="0" fontId="22" fillId="0" borderId="0" xfId="0" applyFont="1"/>
    <xf numFmtId="167" fontId="0" fillId="0" borderId="0" xfId="0" applyNumberFormat="1" applyAlignment="1">
      <alignment horizontal="left"/>
    </xf>
    <xf numFmtId="0" fontId="1" fillId="0" borderId="48" xfId="0" applyFont="1" applyBorder="1"/>
    <xf numFmtId="0" fontId="1" fillId="0" borderId="49" xfId="0" applyFont="1" applyBorder="1"/>
    <xf numFmtId="0" fontId="1" fillId="0" borderId="50" xfId="0" applyFont="1" applyBorder="1"/>
    <xf numFmtId="0" fontId="1" fillId="0" borderId="51" xfId="0" applyFont="1" applyBorder="1"/>
    <xf numFmtId="0" fontId="22" fillId="0" borderId="52" xfId="0" applyFont="1" applyBorder="1"/>
    <xf numFmtId="0" fontId="0" fillId="0" borderId="32" xfId="0" applyBorder="1" applyProtection="1">
      <protection locked="0"/>
    </xf>
    <xf numFmtId="43" fontId="0" fillId="0" borderId="31" xfId="0" applyNumberFormat="1" applyBorder="1" applyProtection="1">
      <protection locked="0"/>
    </xf>
    <xf numFmtId="43" fontId="0" fillId="0" borderId="6" xfId="0" applyNumberFormat="1" applyBorder="1" applyProtection="1">
      <protection locked="0"/>
    </xf>
    <xf numFmtId="0" fontId="0" fillId="0" borderId="26" xfId="0" applyBorder="1" applyProtection="1">
      <protection locked="0"/>
    </xf>
    <xf numFmtId="43" fontId="0" fillId="0" borderId="29" xfId="0" applyNumberFormat="1" applyBorder="1" applyProtection="1">
      <protection locked="0"/>
    </xf>
    <xf numFmtId="43" fontId="0" fillId="0" borderId="3" xfId="0" applyNumberFormat="1" applyBorder="1" applyProtection="1">
      <protection locked="0"/>
    </xf>
    <xf numFmtId="0" fontId="0" fillId="0" borderId="25" xfId="0" applyBorder="1" applyProtection="1">
      <protection locked="0"/>
    </xf>
    <xf numFmtId="43" fontId="0" fillId="0" borderId="34" xfId="0" applyNumberFormat="1" applyBorder="1" applyProtection="1">
      <protection locked="0"/>
    </xf>
    <xf numFmtId="0" fontId="1" fillId="0" borderId="32" xfId="0" applyFont="1" applyBorder="1" applyProtection="1">
      <protection locked="0"/>
    </xf>
    <xf numFmtId="44" fontId="2" fillId="0" borderId="6" xfId="1" applyFont="1" applyBorder="1" applyProtection="1">
      <protection locked="0"/>
    </xf>
    <xf numFmtId="44" fontId="0" fillId="0" borderId="6" xfId="1" applyFont="1" applyBorder="1" applyAlignment="1" applyProtection="1">
      <alignment vertical="center"/>
      <protection locked="0"/>
    </xf>
    <xf numFmtId="39" fontId="10" fillId="0" borderId="0" xfId="0" applyNumberFormat="1" applyFont="1" applyProtection="1">
      <protection locked="0"/>
    </xf>
    <xf numFmtId="0" fontId="4" fillId="0" borderId="58" xfId="0" applyFont="1" applyBorder="1"/>
    <xf numFmtId="0" fontId="0" fillId="0" borderId="59" xfId="0" applyBorder="1"/>
    <xf numFmtId="0" fontId="0" fillId="0" borderId="60" xfId="0" applyBorder="1"/>
    <xf numFmtId="0" fontId="1" fillId="0" borderId="61" xfId="0" applyFont="1" applyBorder="1" applyAlignment="1">
      <alignment horizontal="left" indent="3"/>
    </xf>
    <xf numFmtId="0" fontId="3" fillId="0" borderId="62" xfId="0" applyFont="1" applyBorder="1" applyAlignment="1" applyProtection="1">
      <alignment horizontal="center"/>
      <protection locked="0"/>
    </xf>
    <xf numFmtId="166" fontId="0" fillId="0" borderId="62" xfId="0" applyNumberFormat="1" applyBorder="1" applyProtection="1">
      <protection locked="0"/>
    </xf>
    <xf numFmtId="44" fontId="0" fillId="0" borderId="62" xfId="1" applyFont="1" applyBorder="1" applyProtection="1">
      <protection locked="0"/>
    </xf>
    <xf numFmtId="0" fontId="1" fillId="0" borderId="63" xfId="0" applyFont="1" applyBorder="1" applyAlignment="1">
      <alignment horizontal="left" indent="3"/>
    </xf>
    <xf numFmtId="0" fontId="0" fillId="0" borderId="64" xfId="0" applyBorder="1" applyAlignment="1">
      <alignment horizontal="left" indent="3"/>
    </xf>
    <xf numFmtId="166" fontId="0" fillId="0" borderId="65" xfId="0" applyNumberFormat="1" applyBorder="1" applyProtection="1">
      <protection locked="0"/>
    </xf>
    <xf numFmtId="0" fontId="25" fillId="0" borderId="0" xfId="0" applyFont="1" applyAlignment="1">
      <alignment horizontal="left" vertical="top" wrapText="1"/>
    </xf>
    <xf numFmtId="0" fontId="0" fillId="0" borderId="66" xfId="0" applyBorder="1" applyProtection="1">
      <protection locked="0"/>
    </xf>
    <xf numFmtId="0" fontId="1" fillId="0" borderId="66" xfId="0" applyFont="1" applyBorder="1" applyAlignment="1" applyProtection="1">
      <alignment horizontal="left" vertical="center" wrapText="1"/>
      <protection locked="0"/>
    </xf>
    <xf numFmtId="0" fontId="1" fillId="0" borderId="68" xfId="0" applyFont="1" applyBorder="1" applyAlignment="1" applyProtection="1">
      <alignment horizontal="left" vertical="center" wrapText="1"/>
      <protection locked="0"/>
    </xf>
    <xf numFmtId="170" fontId="0" fillId="0" borderId="67" xfId="0" applyNumberFormat="1" applyBorder="1" applyAlignment="1" applyProtection="1">
      <alignment horizontal="right" vertical="center"/>
      <protection locked="0"/>
    </xf>
    <xf numFmtId="168" fontId="0" fillId="0" borderId="69" xfId="0" applyNumberFormat="1" applyBorder="1" applyAlignment="1" applyProtection="1">
      <alignment horizontal="center" vertical="center"/>
      <protection locked="0"/>
    </xf>
    <xf numFmtId="44" fontId="1" fillId="0" borderId="67" xfId="1" applyBorder="1" applyAlignment="1" applyProtection="1">
      <alignment horizontal="center" vertical="center"/>
      <protection locked="0"/>
    </xf>
    <xf numFmtId="0" fontId="0" fillId="0" borderId="67" xfId="0" applyBorder="1" applyProtection="1">
      <protection locked="0"/>
    </xf>
    <xf numFmtId="43" fontId="0" fillId="0" borderId="70" xfId="0" applyNumberForma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28" xfId="0" applyFont="1" applyBorder="1" applyAlignment="1">
      <alignment horizontal="left" vertical="center" wrapText="1"/>
    </xf>
    <xf numFmtId="0" fontId="1" fillId="0" borderId="46" xfId="0" applyFont="1" applyBorder="1"/>
    <xf numFmtId="0" fontId="0" fillId="0" borderId="46" xfId="0" applyBorder="1"/>
    <xf numFmtId="0" fontId="16" fillId="0" borderId="19" xfId="0" applyFont="1" applyBorder="1" applyAlignment="1">
      <alignment horizontal="center"/>
    </xf>
    <xf numFmtId="0" fontId="15" fillId="2" borderId="27" xfId="0" applyFont="1" applyFill="1" applyBorder="1" applyAlignment="1">
      <alignment wrapText="1"/>
    </xf>
    <xf numFmtId="0" fontId="10" fillId="0" borderId="0" xfId="0" applyFont="1"/>
    <xf numFmtId="0" fontId="0" fillId="2" borderId="0" xfId="0" applyFill="1"/>
    <xf numFmtId="169" fontId="0" fillId="2" borderId="11" xfId="0" applyNumberFormat="1" applyFill="1" applyBorder="1"/>
    <xf numFmtId="0" fontId="0" fillId="0" borderId="0" xfId="0" applyAlignment="1">
      <alignment horizontal="left" vertical="center"/>
    </xf>
    <xf numFmtId="0" fontId="19" fillId="0" borderId="4" xfId="0" applyFont="1" applyBorder="1" applyProtection="1">
      <protection locked="0"/>
    </xf>
    <xf numFmtId="0" fontId="1" fillId="2" borderId="9" xfId="0" applyFont="1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19" fillId="0" borderId="0" xfId="0" applyFont="1" applyProtection="1">
      <protection locked="0"/>
    </xf>
    <xf numFmtId="0" fontId="18" fillId="0" borderId="0" xfId="0" applyFont="1" applyAlignment="1">
      <alignment vertical="top"/>
    </xf>
    <xf numFmtId="0" fontId="10" fillId="2" borderId="0" xfId="0" applyFont="1" applyFill="1" applyAlignment="1">
      <alignment vertical="top"/>
    </xf>
    <xf numFmtId="0" fontId="25" fillId="2" borderId="0" xfId="0" applyFont="1" applyFill="1" applyAlignment="1">
      <alignment horizontal="right"/>
    </xf>
    <xf numFmtId="0" fontId="0" fillId="3" borderId="33" xfId="0" applyFill="1" applyBorder="1" applyAlignment="1" applyProtection="1">
      <alignment vertical="center"/>
      <protection locked="0"/>
    </xf>
    <xf numFmtId="0" fontId="0" fillId="3" borderId="30" xfId="0" applyFill="1" applyBorder="1" applyAlignment="1" applyProtection="1">
      <alignment vertical="center"/>
      <protection locked="0"/>
    </xf>
    <xf numFmtId="0" fontId="0" fillId="3" borderId="35" xfId="0" applyFill="1" applyBorder="1" applyAlignment="1" applyProtection="1">
      <alignment vertical="center"/>
      <protection locked="0"/>
    </xf>
    <xf numFmtId="167" fontId="29" fillId="2" borderId="0" xfId="0" applyNumberFormat="1" applyFont="1" applyFill="1" applyAlignment="1">
      <alignment horizontal="left"/>
    </xf>
    <xf numFmtId="0" fontId="31" fillId="0" borderId="4" xfId="0" applyFont="1" applyBorder="1" applyProtection="1">
      <protection locked="0"/>
    </xf>
    <xf numFmtId="0" fontId="32" fillId="3" borderId="33" xfId="0" applyFont="1" applyFill="1" applyBorder="1" applyAlignment="1" applyProtection="1">
      <alignment vertical="center"/>
      <protection locked="0"/>
    </xf>
    <xf numFmtId="0" fontId="32" fillId="3" borderId="30" xfId="0" applyFont="1" applyFill="1" applyBorder="1" applyAlignment="1" applyProtection="1">
      <alignment vertical="center"/>
      <protection locked="0"/>
    </xf>
    <xf numFmtId="0" fontId="32" fillId="3" borderId="35" xfId="0" applyFont="1" applyFill="1" applyBorder="1" applyAlignment="1" applyProtection="1">
      <alignment vertical="center"/>
      <protection locked="0"/>
    </xf>
    <xf numFmtId="0" fontId="27" fillId="2" borderId="0" xfId="0" applyFont="1" applyFill="1" applyAlignment="1" applyProtection="1">
      <alignment horizontal="right"/>
      <protection locked="0"/>
    </xf>
    <xf numFmtId="0" fontId="0" fillId="0" borderId="0" xfId="0" applyAlignment="1">
      <alignment textRotation="255"/>
    </xf>
    <xf numFmtId="0" fontId="26" fillId="4" borderId="0" xfId="0" applyFont="1" applyFill="1" applyAlignment="1">
      <alignment horizontal="center" vertical="center"/>
    </xf>
    <xf numFmtId="0" fontId="34" fillId="0" borderId="29" xfId="0" applyFont="1" applyBorder="1" applyAlignment="1">
      <alignment horizontal="center" textRotation="255"/>
    </xf>
    <xf numFmtId="0" fontId="34" fillId="0" borderId="34" xfId="0" applyFont="1" applyBorder="1" applyAlignment="1">
      <alignment horizontal="center" textRotation="255"/>
    </xf>
    <xf numFmtId="43" fontId="33" fillId="4" borderId="0" xfId="2" applyFont="1" applyFill="1" applyAlignment="1">
      <alignment horizontal="center"/>
    </xf>
    <xf numFmtId="43" fontId="18" fillId="4" borderId="0" xfId="2" applyFont="1" applyFill="1" applyAlignment="1">
      <alignment horizontal="center" vertical="top" wrapText="1"/>
    </xf>
    <xf numFmtId="0" fontId="26" fillId="4" borderId="0" xfId="0" applyFont="1" applyFill="1" applyAlignment="1">
      <alignment horizontal="center" wrapText="1"/>
    </xf>
    <xf numFmtId="0" fontId="0" fillId="2" borderId="9" xfId="0" applyFill="1" applyBorder="1" applyAlignment="1">
      <alignment horizontal="center" vertical="top"/>
    </xf>
    <xf numFmtId="0" fontId="31" fillId="0" borderId="4" xfId="0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left" vertical="top" wrapText="1"/>
    </xf>
    <xf numFmtId="0" fontId="30" fillId="4" borderId="47" xfId="0" applyFont="1" applyFill="1" applyBorder="1" applyAlignment="1">
      <alignment horizontal="center" wrapText="1"/>
    </xf>
    <xf numFmtId="0" fontId="30" fillId="4" borderId="30" xfId="0" applyFont="1" applyFill="1" applyBorder="1" applyAlignment="1">
      <alignment horizontal="center" wrapText="1"/>
    </xf>
    <xf numFmtId="0" fontId="30" fillId="4" borderId="35" xfId="0" applyFont="1" applyFill="1" applyBorder="1" applyAlignment="1">
      <alignment horizontal="center" wrapText="1"/>
    </xf>
    <xf numFmtId="170" fontId="0" fillId="0" borderId="32" xfId="0" applyNumberFormat="1" applyBorder="1" applyAlignment="1" applyProtection="1">
      <alignment horizontal="right" vertical="center"/>
      <protection locked="0"/>
    </xf>
    <xf numFmtId="170" fontId="0" fillId="0" borderId="26" xfId="0" applyNumberFormat="1" applyBorder="1" applyAlignment="1" applyProtection="1">
      <alignment horizontal="right" vertical="center"/>
      <protection locked="0"/>
    </xf>
    <xf numFmtId="170" fontId="0" fillId="0" borderId="25" xfId="0" applyNumberFormat="1" applyBorder="1" applyAlignment="1" applyProtection="1">
      <alignment horizontal="right" vertical="center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 applyProtection="1">
      <alignment horizontal="left" vertical="center" wrapText="1"/>
      <protection locked="0"/>
    </xf>
    <xf numFmtId="44" fontId="1" fillId="0" borderId="32" xfId="1" applyBorder="1" applyAlignment="1" applyProtection="1">
      <alignment horizontal="center" vertical="center"/>
      <protection locked="0"/>
    </xf>
    <xf numFmtId="44" fontId="1" fillId="0" borderId="26" xfId="1" applyBorder="1" applyAlignment="1" applyProtection="1">
      <alignment horizontal="center" vertical="center"/>
      <protection locked="0"/>
    </xf>
    <xf numFmtId="44" fontId="1" fillId="0" borderId="25" xfId="1" applyBorder="1" applyAlignment="1" applyProtection="1">
      <alignment horizontal="center" vertical="center"/>
      <protection locked="0"/>
    </xf>
    <xf numFmtId="0" fontId="13" fillId="0" borderId="32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168" fontId="0" fillId="0" borderId="33" xfId="0" applyNumberFormat="1" applyBorder="1" applyAlignment="1" applyProtection="1">
      <alignment horizontal="center" vertical="center"/>
      <protection locked="0"/>
    </xf>
    <xf numFmtId="168" fontId="0" fillId="0" borderId="30" xfId="0" applyNumberFormat="1" applyBorder="1" applyAlignment="1" applyProtection="1">
      <alignment horizontal="center" vertical="center"/>
      <protection locked="0"/>
    </xf>
    <xf numFmtId="168" fontId="0" fillId="0" borderId="35" xfId="0" applyNumberForma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165" fontId="2" fillId="0" borderId="19" xfId="0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0" fontId="15" fillId="2" borderId="27" xfId="0" applyFont="1" applyFill="1" applyBorder="1" applyAlignment="1">
      <alignment horizontal="center" wrapText="1"/>
    </xf>
    <xf numFmtId="0" fontId="13" fillId="0" borderId="20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8" fillId="4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6" fillId="2" borderId="0" xfId="0" applyFont="1" applyFill="1" applyAlignment="1">
      <alignment horizontal="left" vertical="top" wrapText="1"/>
    </xf>
    <xf numFmtId="0" fontId="1" fillId="0" borderId="44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2" xfId="0" applyBorder="1" applyAlignment="1">
      <alignment horizontal="center"/>
    </xf>
    <xf numFmtId="0" fontId="17" fillId="2" borderId="27" xfId="0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5" fillId="0" borderId="9" xfId="0" applyFont="1" applyBorder="1" applyAlignment="1">
      <alignment horizontal="center"/>
    </xf>
    <xf numFmtId="168" fontId="7" fillId="0" borderId="4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15" fillId="2" borderId="6" xfId="0" applyFont="1" applyFill="1" applyBorder="1" applyAlignment="1">
      <alignment horizontal="center" wrapText="1"/>
    </xf>
    <xf numFmtId="0" fontId="1" fillId="0" borderId="4" xfId="0" applyFont="1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171" fontId="11" fillId="0" borderId="4" xfId="0" applyNumberFormat="1" applyFont="1" applyBorder="1" applyAlignment="1" applyProtection="1">
      <alignment horizontal="center"/>
      <protection locked="0"/>
    </xf>
    <xf numFmtId="168" fontId="7" fillId="0" borderId="4" xfId="0" applyNumberFormat="1" applyFont="1" applyBorder="1" applyAlignment="1">
      <alignment horizontal="center"/>
    </xf>
    <xf numFmtId="170" fontId="0" fillId="0" borderId="46" xfId="0" applyNumberFormat="1" applyBorder="1" applyAlignment="1">
      <alignment horizontal="right" vertical="center"/>
    </xf>
    <xf numFmtId="170" fontId="0" fillId="0" borderId="25" xfId="0" applyNumberFormat="1" applyBorder="1" applyAlignment="1">
      <alignment horizontal="right" vertical="center"/>
    </xf>
    <xf numFmtId="0" fontId="0" fillId="0" borderId="56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1" fillId="0" borderId="56" xfId="0" applyFont="1" applyBorder="1" applyAlignment="1">
      <alignment horizontal="left" wrapText="1"/>
    </xf>
    <xf numFmtId="0" fontId="1" fillId="0" borderId="57" xfId="0" applyFont="1" applyBorder="1" applyAlignment="1">
      <alignment horizontal="left" wrapText="1"/>
    </xf>
    <xf numFmtId="43" fontId="0" fillId="0" borderId="5" xfId="0" applyNumberFormat="1" applyBorder="1" applyAlignment="1">
      <alignment horizontal="right"/>
    </xf>
    <xf numFmtId="43" fontId="0" fillId="0" borderId="3" xfId="0" applyNumberFormat="1" applyBorder="1" applyAlignment="1">
      <alignment horizontal="right"/>
    </xf>
    <xf numFmtId="0" fontId="13" fillId="0" borderId="47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0" fillId="0" borderId="26" xfId="0" applyBorder="1" applyAlignment="1"/>
    <xf numFmtId="0" fontId="0" fillId="0" borderId="25" xfId="0" applyBorder="1" applyAlignment="1"/>
    <xf numFmtId="167" fontId="28" fillId="2" borderId="0" xfId="0" applyNumberFormat="1" applyFont="1" applyFill="1" applyAlignment="1">
      <alignment horizontal="center" wrapText="1"/>
    </xf>
    <xf numFmtId="0" fontId="0" fillId="0" borderId="0" xfId="0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center"/>
      <protection locked="0"/>
    </xf>
    <xf numFmtId="44" fontId="0" fillId="0" borderId="7" xfId="1" applyFont="1" applyBorder="1" applyAlignment="1"/>
    <xf numFmtId="44" fontId="0" fillId="0" borderId="5" xfId="1" applyFont="1" applyBorder="1" applyAlignment="1"/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1" fillId="0" borderId="56" xfId="0" applyFont="1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</cellXfs>
  <cellStyles count="3">
    <cellStyle name="Comma" xfId="2" builtinId="3"/>
    <cellStyle name="Currency" xfId="1" builtinId="4"/>
    <cellStyle name="Normal" xfId="0" builtinId="0"/>
  </cellStyles>
  <dxfs count="10">
    <dxf>
      <fill>
        <patternFill>
          <bgColor theme="5" tint="0.39994506668294322"/>
        </patternFill>
      </fill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7"/>
  <sheetViews>
    <sheetView tabSelected="1" zoomScale="90" zoomScaleNormal="90" workbookViewId="0">
      <pane ySplit="9" topLeftCell="A10" activePane="bottomLeft" state="frozen"/>
      <selection pane="bottomLeft" activeCell="A10" sqref="A10"/>
    </sheetView>
  </sheetViews>
  <sheetFormatPr defaultColWidth="9.140625" defaultRowHeight="12.75" x14ac:dyDescent="0.2"/>
  <cols>
    <col min="2" max="2" width="3.28515625" customWidth="1"/>
    <col min="3" max="3" width="10.5703125" customWidth="1"/>
    <col min="4" max="4" width="29.28515625" customWidth="1"/>
    <col min="5" max="5" width="8.42578125" customWidth="1"/>
    <col min="6" max="6" width="13" customWidth="1"/>
    <col min="7" max="7" width="13.140625" customWidth="1"/>
    <col min="8" max="8" width="0.85546875" customWidth="1"/>
    <col min="9" max="9" width="9.28515625" bestFit="1" customWidth="1"/>
    <col min="10" max="10" width="9.7109375" customWidth="1"/>
    <col min="11" max="11" width="18.42578125" customWidth="1"/>
    <col min="12" max="12" width="22.7109375" customWidth="1"/>
    <col min="13" max="13" width="14.42578125" customWidth="1"/>
    <col min="14" max="14" width="14.7109375" customWidth="1"/>
    <col min="15" max="15" width="30.7109375" customWidth="1"/>
    <col min="16" max="16" width="29.7109375" customWidth="1"/>
    <col min="17" max="22" width="11.140625" customWidth="1"/>
    <col min="23" max="23" width="49.28515625" customWidth="1"/>
    <col min="24" max="24" width="9.140625" customWidth="1"/>
    <col min="25" max="35" width="2.7109375" customWidth="1"/>
  </cols>
  <sheetData>
    <row r="1" spans="1:36" ht="15.75" x14ac:dyDescent="0.25">
      <c r="A1" s="176" t="s">
        <v>0</v>
      </c>
      <c r="B1" s="150"/>
      <c r="O1" s="24" t="s">
        <v>1</v>
      </c>
      <c r="W1" s="25" t="s">
        <v>2</v>
      </c>
      <c r="Z1" s="19"/>
      <c r="AA1" s="19"/>
      <c r="AB1" s="19"/>
      <c r="AC1" s="19"/>
      <c r="AD1" s="19"/>
      <c r="AE1" s="19"/>
      <c r="AF1" s="19"/>
      <c r="AG1" s="19"/>
      <c r="AH1" s="19"/>
    </row>
    <row r="2" spans="1:36" ht="20.100000000000001" customHeight="1" x14ac:dyDescent="0.25">
      <c r="A2" s="176"/>
      <c r="C2" s="178" t="s">
        <v>3</v>
      </c>
      <c r="D2" s="178"/>
      <c r="E2" s="178"/>
      <c r="F2" s="157"/>
      <c r="G2" s="165" t="s">
        <v>4</v>
      </c>
      <c r="H2" s="154"/>
      <c r="K2" s="158"/>
      <c r="L2" s="160" t="s">
        <v>5</v>
      </c>
      <c r="M2" s="169" t="s">
        <v>6</v>
      </c>
      <c r="N2" s="28" t="s">
        <v>7</v>
      </c>
      <c r="Y2" s="27" t="s">
        <v>8</v>
      </c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6" ht="12.75" customHeight="1" x14ac:dyDescent="0.25">
      <c r="A3" s="176"/>
      <c r="C3" s="177" t="s">
        <v>9</v>
      </c>
      <c r="D3" s="177"/>
      <c r="E3" s="177"/>
      <c r="G3" s="156" t="s">
        <v>10</v>
      </c>
      <c r="H3" s="155"/>
      <c r="J3" s="179" t="str">
        <f ca="1">VLOOKUP(1,C201:D232,2,0)</f>
        <v>Copy this form to your C drive before using it.</v>
      </c>
      <c r="K3" s="179"/>
      <c r="L3" s="179"/>
      <c r="M3" s="26"/>
      <c r="O3" s="174" t="s">
        <v>11</v>
      </c>
      <c r="Y3" s="29"/>
      <c r="Z3" s="19" t="s">
        <v>12</v>
      </c>
      <c r="AA3" s="19"/>
      <c r="AB3" s="19"/>
      <c r="AC3" s="19"/>
      <c r="AD3" s="19"/>
      <c r="AE3" s="19"/>
      <c r="AF3" s="19"/>
      <c r="AG3" s="19"/>
      <c r="AH3" s="19"/>
      <c r="AI3" s="19"/>
    </row>
    <row r="4" spans="1:36" ht="15.75" customHeight="1" thickBot="1" x14ac:dyDescent="0.6">
      <c r="A4" s="176"/>
      <c r="E4" s="159"/>
      <c r="F4" s="159"/>
      <c r="G4" s="159"/>
      <c r="H4" s="159"/>
      <c r="I4" s="159"/>
      <c r="J4" s="179"/>
      <c r="K4" s="179"/>
      <c r="L4" s="179"/>
      <c r="M4" s="26"/>
      <c r="O4" s="174"/>
      <c r="P4" s="30"/>
      <c r="Q4" s="30"/>
      <c r="R4" s="30"/>
      <c r="S4" s="30"/>
      <c r="T4" s="30"/>
      <c r="U4" s="30"/>
      <c r="V4" s="30"/>
      <c r="W4" s="30"/>
      <c r="X4" s="30"/>
      <c r="Y4" s="29"/>
      <c r="AB4" s="153" t="s">
        <v>13</v>
      </c>
      <c r="AC4" s="31"/>
      <c r="AD4" s="31"/>
      <c r="AF4" s="19"/>
      <c r="AG4" s="19"/>
      <c r="AH4" s="19"/>
      <c r="AI4" s="19"/>
    </row>
    <row r="5" spans="1:36" ht="16.5" customHeight="1" thickBot="1" x14ac:dyDescent="0.6">
      <c r="A5" s="171" t="s">
        <v>14</v>
      </c>
      <c r="B5" s="170"/>
      <c r="E5" s="32"/>
      <c r="F5" s="32"/>
      <c r="G5" s="32"/>
      <c r="H5" s="32"/>
      <c r="I5" s="32"/>
      <c r="J5" s="32"/>
      <c r="K5" s="33"/>
      <c r="L5" s="33"/>
      <c r="O5" s="175" t="s">
        <v>15</v>
      </c>
      <c r="P5" s="30"/>
      <c r="Q5" s="30"/>
      <c r="R5" s="30"/>
      <c r="S5" s="30"/>
      <c r="T5" s="30"/>
      <c r="U5" s="30"/>
      <c r="V5" s="30"/>
      <c r="W5" s="30"/>
      <c r="X5" s="30"/>
      <c r="Y5" s="29"/>
      <c r="Z5" s="19"/>
      <c r="AA5" s="19"/>
      <c r="AB5" s="34"/>
      <c r="AC5" s="35"/>
      <c r="AD5" s="35"/>
      <c r="AE5" s="19"/>
      <c r="AF5" s="19"/>
      <c r="AG5" s="19"/>
      <c r="AH5" s="19"/>
      <c r="AI5" s="19"/>
    </row>
    <row r="6" spans="1:36" ht="12.75" customHeight="1" thickTop="1" x14ac:dyDescent="0.2">
      <c r="A6" s="180" t="s">
        <v>16</v>
      </c>
      <c r="B6" s="172" t="s">
        <v>17</v>
      </c>
      <c r="C6" s="243" t="s">
        <v>18</v>
      </c>
      <c r="D6" s="246" t="s">
        <v>19</v>
      </c>
      <c r="E6" s="211" t="s">
        <v>20</v>
      </c>
      <c r="F6" s="212"/>
      <c r="G6" s="225"/>
      <c r="H6" s="36"/>
      <c r="I6" s="211" t="s">
        <v>21</v>
      </c>
      <c r="J6" s="212"/>
      <c r="K6" s="212"/>
      <c r="L6" s="212"/>
      <c r="M6" s="213"/>
      <c r="N6" s="214" t="str">
        <f ca="1">IF(F168="yes","Schedule of Estimated Expenses.",IF(F169=0,"Not yet submitted.",IF(F170&gt;0,"Expense Claim paid"&amp;IF(F171&gt;0," on "&amp;TEXT(F171,"mm/dd/yy")&amp;".  ",".  ")&amp;IF(F170&lt;N151,"Less than claimed amount paid!",IF(F170&gt;N151,"More than claimed amount paid!","")),IF(F169&lt;NOW()-2,"Submitted "&amp;TEXT(F169,"mm/dd/yy."),""))))</f>
        <v>Not yet submitted.</v>
      </c>
      <c r="O6" s="175"/>
      <c r="P6" s="14" t="s">
        <v>22</v>
      </c>
      <c r="Q6" s="37"/>
      <c r="R6" s="38"/>
      <c r="S6" s="38"/>
      <c r="T6" s="38"/>
      <c r="U6" s="38"/>
      <c r="V6" s="38"/>
      <c r="W6" s="39"/>
      <c r="Y6" s="29"/>
      <c r="Z6" s="19"/>
      <c r="AA6" s="19"/>
      <c r="AB6" s="40" t="s">
        <v>23</v>
      </c>
      <c r="AC6" s="19"/>
      <c r="AD6" s="19"/>
      <c r="AE6" s="19" t="s">
        <v>24</v>
      </c>
      <c r="AF6" s="19"/>
      <c r="AG6" s="19"/>
      <c r="AH6" s="19"/>
      <c r="AI6" s="19"/>
    </row>
    <row r="7" spans="1:36" ht="12.75" customHeight="1" x14ac:dyDescent="0.35">
      <c r="A7" s="181"/>
      <c r="B7" s="172"/>
      <c r="C7" s="244"/>
      <c r="D7" s="247"/>
      <c r="E7" s="192" t="s">
        <v>25</v>
      </c>
      <c r="F7" s="192" t="s">
        <v>26</v>
      </c>
      <c r="G7" s="192" t="s">
        <v>27</v>
      </c>
      <c r="H7" s="41"/>
      <c r="I7" s="195" t="s">
        <v>28</v>
      </c>
      <c r="J7" s="196"/>
      <c r="K7" s="42" t="s">
        <v>29</v>
      </c>
      <c r="L7" s="215" t="s">
        <v>30</v>
      </c>
      <c r="M7" s="216"/>
      <c r="N7" s="214"/>
      <c r="O7" s="208" t="str">
        <f>IF(MAX($C$233:$C$240)&gt;0,VLOOKUP(1,$C$233:$D$240,2,0),"-")</f>
        <v>**Sign and date form before submitting.</v>
      </c>
      <c r="P7" s="43"/>
      <c r="Q7" s="209" t="s">
        <v>31</v>
      </c>
      <c r="R7" s="209"/>
      <c r="S7" s="209"/>
      <c r="T7" s="209"/>
      <c r="U7" s="209"/>
      <c r="V7" s="209"/>
      <c r="W7" s="44"/>
      <c r="Y7" s="29"/>
      <c r="Z7" s="19"/>
      <c r="AA7" s="19"/>
      <c r="AB7" s="19"/>
      <c r="AC7" s="40" t="s">
        <v>32</v>
      </c>
      <c r="AD7" s="19"/>
      <c r="AE7" s="19"/>
      <c r="AF7" s="19" t="s">
        <v>33</v>
      </c>
      <c r="AG7" s="19"/>
      <c r="AH7" s="19"/>
      <c r="AI7" s="19"/>
    </row>
    <row r="8" spans="1:36" ht="12.75" customHeight="1" x14ac:dyDescent="0.35">
      <c r="A8" s="181"/>
      <c r="B8" s="172"/>
      <c r="C8" s="244"/>
      <c r="D8" s="247"/>
      <c r="E8" s="193"/>
      <c r="F8" s="193"/>
      <c r="G8" s="193"/>
      <c r="H8" s="41"/>
      <c r="I8" s="219" t="s">
        <v>34</v>
      </c>
      <c r="J8" s="220"/>
      <c r="K8" s="223" t="s">
        <v>35</v>
      </c>
      <c r="L8" s="217"/>
      <c r="M8" s="218"/>
      <c r="N8" s="214"/>
      <c r="O8" s="208"/>
      <c r="P8" s="13" t="s">
        <v>36</v>
      </c>
      <c r="Q8" s="45" t="s">
        <v>37</v>
      </c>
      <c r="R8" s="45" t="s">
        <v>38</v>
      </c>
      <c r="S8" s="45" t="s">
        <v>39</v>
      </c>
      <c r="T8" s="45" t="s">
        <v>40</v>
      </c>
      <c r="U8" s="45" t="s">
        <v>41</v>
      </c>
      <c r="V8" s="45" t="s">
        <v>42</v>
      </c>
      <c r="W8" s="46" t="s">
        <v>43</v>
      </c>
      <c r="Y8" s="29"/>
      <c r="Z8" s="19"/>
      <c r="AA8" s="19"/>
      <c r="AB8" s="19"/>
      <c r="AC8" s="19"/>
      <c r="AD8" s="40" t="s">
        <v>44</v>
      </c>
      <c r="AE8" s="40"/>
      <c r="AF8" s="19"/>
      <c r="AG8" s="19" t="s">
        <v>45</v>
      </c>
      <c r="AH8" s="19"/>
      <c r="AI8" s="19"/>
    </row>
    <row r="9" spans="1:36" ht="12.75" customHeight="1" x14ac:dyDescent="0.2">
      <c r="A9" s="182"/>
      <c r="B9" s="173"/>
      <c r="C9" s="245"/>
      <c r="D9" s="248"/>
      <c r="E9" s="194"/>
      <c r="F9" s="194"/>
      <c r="G9" s="194"/>
      <c r="H9" s="41"/>
      <c r="I9" s="221"/>
      <c r="J9" s="222"/>
      <c r="K9" s="224"/>
      <c r="L9" s="47" t="s">
        <v>46</v>
      </c>
      <c r="M9" s="48" t="s">
        <v>47</v>
      </c>
      <c r="N9" s="214"/>
      <c r="O9" s="208"/>
      <c r="P9" s="49" t="s">
        <v>48</v>
      </c>
      <c r="Q9" s="50" t="s">
        <v>49</v>
      </c>
      <c r="R9" s="50">
        <v>29</v>
      </c>
      <c r="S9" s="50">
        <v>26</v>
      </c>
      <c r="T9" s="50">
        <v>42</v>
      </c>
      <c r="U9" s="50">
        <v>13</v>
      </c>
      <c r="V9" s="50">
        <v>36</v>
      </c>
      <c r="W9" s="51" t="s">
        <v>50</v>
      </c>
      <c r="Y9" s="29"/>
      <c r="Z9" s="19"/>
      <c r="AA9" s="19"/>
      <c r="AB9" s="40"/>
      <c r="AC9" s="40"/>
      <c r="AD9" s="40"/>
      <c r="AE9" s="19"/>
      <c r="AF9" s="19"/>
      <c r="AG9" s="19"/>
      <c r="AH9" s="19" t="s">
        <v>51</v>
      </c>
      <c r="AI9" s="19"/>
    </row>
    <row r="10" spans="1:36" ht="12" customHeight="1" x14ac:dyDescent="0.2">
      <c r="A10" s="161">
        <v>1</v>
      </c>
      <c r="B10" s="151">
        <v>1</v>
      </c>
      <c r="C10" s="197"/>
      <c r="D10" s="200"/>
      <c r="E10" s="183"/>
      <c r="F10" s="200"/>
      <c r="G10" s="200"/>
      <c r="H10" s="52"/>
      <c r="I10" s="22"/>
      <c r="J10" s="16"/>
      <c r="K10" s="189"/>
      <c r="L10" s="113"/>
      <c r="M10" s="114"/>
      <c r="N10" s="214"/>
      <c r="O10" s="208" t="str">
        <f>IF(MAX($C$233:$C$240)&gt;1,VLOOKUP(2,$C$233:$D$240,2,0),"-")</f>
        <v>-</v>
      </c>
      <c r="P10" s="49" t="s">
        <v>52</v>
      </c>
      <c r="Q10" s="50">
        <v>42</v>
      </c>
      <c r="R10" s="50">
        <v>19</v>
      </c>
      <c r="S10" s="50">
        <v>21</v>
      </c>
      <c r="T10" s="50" t="s">
        <v>49</v>
      </c>
      <c r="U10" s="50">
        <v>30</v>
      </c>
      <c r="V10" s="50">
        <v>42</v>
      </c>
      <c r="W10" s="51" t="s">
        <v>53</v>
      </c>
      <c r="Y10" s="53">
        <f>IF(OR(C$10&lt;&gt;0,E10&lt;&gt;0,J10&lt;&gt;0,K10&lt;&gt;0,M10&lt;&gt;0),1,0)</f>
        <v>0</v>
      </c>
      <c r="Z10" s="54">
        <f>IF(AND($Y10&gt;0,C10=0),1,0)</f>
        <v>0</v>
      </c>
      <c r="AA10" s="54">
        <f t="shared" ref="AA10:AA41" si="0">IF(C10&gt;0,IF(OR(C10&lt;Form_date_earliest,C10&gt;Form_date_latest),1,0),0)</f>
        <v>0</v>
      </c>
      <c r="AB10" s="54">
        <f>IF(AND(Y10&gt;0,NOT(ISTEXT(D10))),1,0)</f>
        <v>0</v>
      </c>
      <c r="AC10" s="54">
        <f t="shared" ref="AC10:AC41" si="1">IF(AND(J10&gt;0,NOT(ISTEXT(I10))),1,0)</f>
        <v>0</v>
      </c>
      <c r="AD10" s="54">
        <f t="shared" ref="AD10:AD41" si="2">IF(AND(M10&lt;&gt;0,NOT(ISTEXT(L10))),1,0)</f>
        <v>0</v>
      </c>
      <c r="AE10" s="54">
        <f t="shared" ref="AE10:AE41" si="3">IF(AND(E10&gt;0,OR(ISBLANK(F10),ISBLANK(G10))),1,0)</f>
        <v>0</v>
      </c>
      <c r="AF10" s="54">
        <f>IF(ISBLANK($I10),0,IF($J10&gt;VLOOKUP($I10,Meal_limits,IF($C$10&gt;Old_meal_rates_end_date,4,2),0),1,0))</f>
        <v>0</v>
      </c>
      <c r="AG10" s="54">
        <f>IF(ISBLANK($I10),0,IF($J10&gt;VLOOKUP($I10,Meal_limits,IF($C$10&gt;Old_meal_rates_end_date,5,3),0),1,0))</f>
        <v>0</v>
      </c>
      <c r="AH10" s="54">
        <f t="shared" ref="AH10:AH41" si="4">IF(AND(I10="Other",J10&lt;&gt;0),1,0)</f>
        <v>0</v>
      </c>
      <c r="AI10" s="54">
        <v>1</v>
      </c>
    </row>
    <row r="11" spans="1:36" ht="12" customHeight="1" x14ac:dyDescent="0.2">
      <c r="A11" s="162">
        <v>1</v>
      </c>
      <c r="B11" s="151"/>
      <c r="C11" s="198"/>
      <c r="D11" s="187"/>
      <c r="E11" s="184"/>
      <c r="F11" s="187"/>
      <c r="G11" s="187"/>
      <c r="H11" s="52"/>
      <c r="I11" s="23"/>
      <c r="J11" s="115"/>
      <c r="K11" s="190"/>
      <c r="L11" s="116"/>
      <c r="M11" s="117"/>
      <c r="N11" s="214"/>
      <c r="O11" s="208"/>
      <c r="P11" s="49" t="s">
        <v>54</v>
      </c>
      <c r="Q11" s="50">
        <v>26</v>
      </c>
      <c r="R11" s="50">
        <v>7</v>
      </c>
      <c r="S11" s="50" t="s">
        <v>49</v>
      </c>
      <c r="T11" s="50">
        <v>21</v>
      </c>
      <c r="U11" s="50">
        <v>14</v>
      </c>
      <c r="V11" s="50">
        <v>23</v>
      </c>
      <c r="W11" s="51" t="s">
        <v>55</v>
      </c>
      <c r="Y11" s="53">
        <f>IF(OR(C$10&lt;&gt;0,E11&lt;&gt;0,J11&lt;&gt;0,K11&lt;&gt;0,M11&lt;&gt;0),1,0)</f>
        <v>0</v>
      </c>
      <c r="Z11" s="96">
        <v>0</v>
      </c>
      <c r="AA11" s="54">
        <f t="shared" si="0"/>
        <v>0</v>
      </c>
      <c r="AB11" s="96">
        <v>0</v>
      </c>
      <c r="AC11" s="54">
        <f t="shared" si="1"/>
        <v>0</v>
      </c>
      <c r="AD11" s="54">
        <f t="shared" si="2"/>
        <v>0</v>
      </c>
      <c r="AE11" s="54">
        <f t="shared" si="3"/>
        <v>0</v>
      </c>
      <c r="AF11" s="54">
        <f>IF(ISBLANK($I11),0,IF($J11&gt;VLOOKUP($I11,Meal_limits,IF($C$10&gt;Old_meal_rates_end_date,4,2),0),1,0))</f>
        <v>0</v>
      </c>
      <c r="AG11" s="54">
        <f>IF(ISBLANK($I11),0,IF($J11&gt;VLOOKUP($I11,Meal_limits,IF($C$10&gt;Old_meal_rates_end_date,5,3),0),1,0))</f>
        <v>0</v>
      </c>
      <c r="AH11" s="54">
        <f t="shared" si="4"/>
        <v>0</v>
      </c>
      <c r="AI11" s="54">
        <v>1</v>
      </c>
      <c r="AJ11" s="55"/>
    </row>
    <row r="12" spans="1:36" ht="12" customHeight="1" x14ac:dyDescent="0.2">
      <c r="A12" s="163">
        <v>1</v>
      </c>
      <c r="B12" s="151"/>
      <c r="C12" s="199"/>
      <c r="D12" s="188"/>
      <c r="E12" s="185"/>
      <c r="F12" s="188"/>
      <c r="G12" s="188"/>
      <c r="H12" s="52"/>
      <c r="I12" s="23"/>
      <c r="J12" s="118"/>
      <c r="K12" s="191"/>
      <c r="L12" s="119"/>
      <c r="M12" s="120"/>
      <c r="N12" s="214"/>
      <c r="O12" s="208"/>
      <c r="P12" s="49" t="s">
        <v>56</v>
      </c>
      <c r="Q12" s="50">
        <v>29</v>
      </c>
      <c r="R12" s="50" t="s">
        <v>49</v>
      </c>
      <c r="S12" s="50">
        <v>7</v>
      </c>
      <c r="T12" s="50">
        <v>19</v>
      </c>
      <c r="U12" s="50">
        <v>17</v>
      </c>
      <c r="V12" s="50">
        <v>28</v>
      </c>
      <c r="W12" s="51" t="s">
        <v>57</v>
      </c>
      <c r="Y12" s="53">
        <f>IF(OR(C$10&lt;&gt;0,E12&lt;&gt;0,J12&lt;&gt;0,K12&lt;&gt;0,M12&lt;&gt;0),1,0)</f>
        <v>0</v>
      </c>
      <c r="Z12" s="96">
        <v>0</v>
      </c>
      <c r="AA12" s="54">
        <f t="shared" si="0"/>
        <v>0</v>
      </c>
      <c r="AB12" s="96">
        <v>0</v>
      </c>
      <c r="AC12" s="54">
        <f t="shared" si="1"/>
        <v>0</v>
      </c>
      <c r="AD12" s="54">
        <f t="shared" si="2"/>
        <v>0</v>
      </c>
      <c r="AE12" s="54">
        <f t="shared" si="3"/>
        <v>0</v>
      </c>
      <c r="AF12" s="54">
        <f>IF(ISBLANK($I12),0,IF($J12&gt;VLOOKUP($I12,Meal_limits,IF($C$10&gt;Old_meal_rates_end_date,4,2),0),1,0))</f>
        <v>0</v>
      </c>
      <c r="AG12" s="54">
        <f>IF(ISBLANK($I12),0,IF($J12&gt;VLOOKUP($I12,Meal_limits,IF($C$10&gt;Old_meal_rates_end_date,5,3),0),1,0))</f>
        <v>0</v>
      </c>
      <c r="AH12" s="54">
        <f t="shared" si="4"/>
        <v>0</v>
      </c>
      <c r="AI12" s="54">
        <v>1</v>
      </c>
    </row>
    <row r="13" spans="1:36" ht="12" customHeight="1" x14ac:dyDescent="0.2">
      <c r="A13" s="161">
        <v>1</v>
      </c>
      <c r="B13" s="151">
        <v>2</v>
      </c>
      <c r="C13" s="197"/>
      <c r="D13" s="200"/>
      <c r="E13" s="183"/>
      <c r="F13" s="200"/>
      <c r="G13" s="200"/>
      <c r="H13" s="52"/>
      <c r="I13" s="22"/>
      <c r="J13" s="16"/>
      <c r="K13" s="189"/>
      <c r="L13" s="121"/>
      <c r="M13" s="114"/>
      <c r="N13" s="214"/>
      <c r="O13" s="208" t="str">
        <f>IF(MAX($C$233:$C$240)&gt;2,VLOOKUP(3,$C$233:$D$240,2,0),"-")</f>
        <v>-</v>
      </c>
      <c r="P13" s="49" t="s">
        <v>58</v>
      </c>
      <c r="Q13" s="50">
        <v>13</v>
      </c>
      <c r="R13" s="50">
        <v>17</v>
      </c>
      <c r="S13" s="50">
        <v>14</v>
      </c>
      <c r="T13" s="50">
        <v>30</v>
      </c>
      <c r="U13" s="50" t="s">
        <v>49</v>
      </c>
      <c r="V13" s="50">
        <v>35</v>
      </c>
      <c r="W13" s="51" t="s">
        <v>59</v>
      </c>
      <c r="Y13" s="53">
        <f>IF(OR(C$13&lt;&gt;0,E13&lt;&gt;0,J13&lt;&gt;0,K13&lt;&gt;0,M13&lt;&gt;0),1,0)</f>
        <v>0</v>
      </c>
      <c r="Z13" s="54">
        <f>IF(AND($Y13&gt;0,C13=0),1,0)</f>
        <v>0</v>
      </c>
      <c r="AA13" s="54">
        <f t="shared" si="0"/>
        <v>0</v>
      </c>
      <c r="AB13" s="54">
        <f>IF(AND(Y13&gt;0,NOT(ISTEXT(D13))),1,0)</f>
        <v>0</v>
      </c>
      <c r="AC13" s="54">
        <f t="shared" si="1"/>
        <v>0</v>
      </c>
      <c r="AD13" s="54">
        <f t="shared" si="2"/>
        <v>0</v>
      </c>
      <c r="AE13" s="54">
        <f t="shared" si="3"/>
        <v>0</v>
      </c>
      <c r="AF13" s="54">
        <f>IF(ISBLANK($I13),0,IF($J13&gt;VLOOKUP($I13,Meal_limits,IF($C$13&gt;Old_meal_rates_end_date,4,2),0),1,0))</f>
        <v>0</v>
      </c>
      <c r="AG13" s="54">
        <f>IF(ISBLANK($I13),0,IF($J13&gt;VLOOKUP($I13,Meal_limits,IF($C$13&gt;Old_meal_rates_end_date,5,3),0),1,0))</f>
        <v>0</v>
      </c>
      <c r="AH13" s="54">
        <f t="shared" si="4"/>
        <v>0</v>
      </c>
      <c r="AI13" s="54">
        <v>1</v>
      </c>
    </row>
    <row r="14" spans="1:36" ht="12" customHeight="1" x14ac:dyDescent="0.2">
      <c r="A14" s="162">
        <v>1</v>
      </c>
      <c r="B14" s="151"/>
      <c r="C14" s="198"/>
      <c r="D14" s="187"/>
      <c r="E14" s="184"/>
      <c r="F14" s="187"/>
      <c r="G14" s="187"/>
      <c r="H14" s="52"/>
      <c r="I14" s="23"/>
      <c r="J14" s="115"/>
      <c r="K14" s="190"/>
      <c r="L14" s="116"/>
      <c r="M14" s="117"/>
      <c r="N14" s="214"/>
      <c r="O14" s="208"/>
      <c r="P14" s="49" t="s">
        <v>60</v>
      </c>
      <c r="Q14" s="50">
        <v>36</v>
      </c>
      <c r="R14" s="50">
        <v>28</v>
      </c>
      <c r="S14" s="50">
        <v>23</v>
      </c>
      <c r="T14" s="50">
        <v>42</v>
      </c>
      <c r="U14" s="50">
        <v>35</v>
      </c>
      <c r="V14" s="50" t="s">
        <v>49</v>
      </c>
      <c r="W14" s="51" t="s">
        <v>61</v>
      </c>
      <c r="Y14" s="53">
        <f>IF(OR(C$13&lt;&gt;0,E14&lt;&gt;0,J14&lt;&gt;0,K14&lt;&gt;0,M14&lt;&gt;0),1,0)</f>
        <v>0</v>
      </c>
      <c r="Z14" s="96">
        <v>0</v>
      </c>
      <c r="AA14" s="54">
        <f t="shared" si="0"/>
        <v>0</v>
      </c>
      <c r="AB14" s="96">
        <v>0</v>
      </c>
      <c r="AC14" s="54">
        <f t="shared" si="1"/>
        <v>0</v>
      </c>
      <c r="AD14" s="54">
        <f t="shared" si="2"/>
        <v>0</v>
      </c>
      <c r="AE14" s="54">
        <f t="shared" si="3"/>
        <v>0</v>
      </c>
      <c r="AF14" s="54">
        <f>IF(ISBLANK($I14),0,IF($J14&gt;VLOOKUP($I14,Meal_limits,IF($C$13&gt;Old_meal_rates_end_date,4,2),0),1,0))</f>
        <v>0</v>
      </c>
      <c r="AG14" s="54">
        <f>IF(ISBLANK($I14),0,IF($J14&gt;VLOOKUP($I14,Meal_limits,IF($C$13&gt;Old_meal_rates_end_date,5,3),0),1,0))</f>
        <v>0</v>
      </c>
      <c r="AH14" s="54">
        <f t="shared" si="4"/>
        <v>0</v>
      </c>
      <c r="AI14" s="54">
        <v>1</v>
      </c>
    </row>
    <row r="15" spans="1:36" ht="12" customHeight="1" x14ac:dyDescent="0.2">
      <c r="A15" s="163">
        <v>1</v>
      </c>
      <c r="B15" s="151"/>
      <c r="C15" s="199"/>
      <c r="D15" s="188"/>
      <c r="E15" s="185"/>
      <c r="F15" s="188"/>
      <c r="G15" s="188"/>
      <c r="H15" s="52"/>
      <c r="I15" s="23"/>
      <c r="J15" s="118"/>
      <c r="K15" s="191"/>
      <c r="L15" s="119"/>
      <c r="M15" s="120"/>
      <c r="N15" s="214"/>
      <c r="O15" s="208"/>
      <c r="P15" s="49" t="s">
        <v>62</v>
      </c>
      <c r="Q15" s="50">
        <v>44</v>
      </c>
      <c r="R15" s="50">
        <v>35</v>
      </c>
      <c r="S15" s="50">
        <v>31</v>
      </c>
      <c r="T15" s="50">
        <v>33</v>
      </c>
      <c r="U15" s="50">
        <v>40</v>
      </c>
      <c r="V15" s="50">
        <v>17</v>
      </c>
      <c r="W15" s="51" t="s">
        <v>63</v>
      </c>
      <c r="Y15" s="53">
        <f>IF(OR(C$13&lt;&gt;0,E15&lt;&gt;0,J15&lt;&gt;0,K15&lt;&gt;0,M15&lt;&gt;0),1,0)</f>
        <v>0</v>
      </c>
      <c r="Z15" s="96">
        <v>0</v>
      </c>
      <c r="AA15" s="54">
        <f t="shared" si="0"/>
        <v>0</v>
      </c>
      <c r="AB15" s="96">
        <v>0</v>
      </c>
      <c r="AC15" s="54">
        <f t="shared" si="1"/>
        <v>0</v>
      </c>
      <c r="AD15" s="54">
        <f t="shared" si="2"/>
        <v>0</v>
      </c>
      <c r="AE15" s="54">
        <f t="shared" si="3"/>
        <v>0</v>
      </c>
      <c r="AF15" s="54">
        <f>IF(ISBLANK($I15),0,IF($J15&gt;VLOOKUP($I15,Meal_limits,IF($C$13&gt;Old_meal_rates_end_date,4,2),0),1,0))</f>
        <v>0</v>
      </c>
      <c r="AG15" s="54">
        <f>IF(ISBLANK($I15),0,IF($J15&gt;VLOOKUP($I15,Meal_limits,IF($C$13&gt;Old_meal_rates_end_date,5,3),0),1,0))</f>
        <v>0</v>
      </c>
      <c r="AH15" s="54">
        <f t="shared" si="4"/>
        <v>0</v>
      </c>
      <c r="AI15" s="54">
        <v>1</v>
      </c>
    </row>
    <row r="16" spans="1:36" ht="12" customHeight="1" x14ac:dyDescent="0.2">
      <c r="A16" s="161">
        <v>1</v>
      </c>
      <c r="B16" s="151">
        <v>3</v>
      </c>
      <c r="C16" s="197"/>
      <c r="D16" s="200"/>
      <c r="E16" s="183"/>
      <c r="F16" s="186"/>
      <c r="G16" s="186"/>
      <c r="H16" s="52"/>
      <c r="I16" s="17"/>
      <c r="J16" s="16"/>
      <c r="K16" s="189"/>
      <c r="L16" s="121"/>
      <c r="M16" s="114"/>
      <c r="O16" s="208" t="str">
        <f>IF(MAX($C$233:$C$240)&gt;3,VLOOKUP(4,$C$233:$D$240,2,0),"-")</f>
        <v>-</v>
      </c>
      <c r="P16" s="49" t="s">
        <v>64</v>
      </c>
      <c r="Q16" s="50">
        <v>49</v>
      </c>
      <c r="R16" s="50">
        <v>41</v>
      </c>
      <c r="S16" s="50">
        <v>37</v>
      </c>
      <c r="T16" s="50">
        <v>32</v>
      </c>
      <c r="U16" s="50">
        <v>46</v>
      </c>
      <c r="V16" s="50">
        <v>21</v>
      </c>
      <c r="W16" s="51" t="s">
        <v>65</v>
      </c>
      <c r="Y16" s="53">
        <f>IF(OR(C$16&lt;&gt;0,E16&lt;&gt;0,J16&lt;&gt;0,K16&lt;&gt;0,M16&lt;&gt;0),1,0)</f>
        <v>0</v>
      </c>
      <c r="Z16" s="54">
        <f>IF(AND($Y16&gt;0,C16=0),1,0)</f>
        <v>0</v>
      </c>
      <c r="AA16" s="54">
        <f t="shared" si="0"/>
        <v>0</v>
      </c>
      <c r="AB16" s="54">
        <f>IF(AND(Y16&gt;0,NOT(ISTEXT(D16))),1,0)</f>
        <v>0</v>
      </c>
      <c r="AC16" s="54">
        <f t="shared" si="1"/>
        <v>0</v>
      </c>
      <c r="AD16" s="54">
        <f t="shared" si="2"/>
        <v>0</v>
      </c>
      <c r="AE16" s="54">
        <f t="shared" si="3"/>
        <v>0</v>
      </c>
      <c r="AF16" s="54">
        <f>IF(ISBLANK($I16),0,IF($J16&gt;VLOOKUP($I16,Meal_limits,IF($C$16&gt;Old_meal_rates_end_date,4,2),0),1,0))</f>
        <v>0</v>
      </c>
      <c r="AG16" s="54">
        <f>IF(ISBLANK($I16),0,IF($J16&gt;VLOOKUP($I16,Meal_limits,IF($C$16&gt;Old_meal_rates_end_date,5,3),0),1,0))</f>
        <v>0</v>
      </c>
      <c r="AH16" s="54">
        <f t="shared" si="4"/>
        <v>0</v>
      </c>
      <c r="AI16" s="54">
        <v>1</v>
      </c>
    </row>
    <row r="17" spans="1:35" ht="12" customHeight="1" x14ac:dyDescent="0.2">
      <c r="A17" s="162">
        <v>1</v>
      </c>
      <c r="B17" s="151"/>
      <c r="C17" s="198"/>
      <c r="D17" s="187"/>
      <c r="E17" s="184"/>
      <c r="F17" s="187"/>
      <c r="G17" s="187"/>
      <c r="H17" s="52"/>
      <c r="I17" s="15"/>
      <c r="J17" s="115"/>
      <c r="K17" s="190"/>
      <c r="L17" s="116"/>
      <c r="M17" s="117"/>
      <c r="O17" s="208"/>
      <c r="P17" s="49" t="s">
        <v>66</v>
      </c>
      <c r="Q17" s="50">
        <v>62</v>
      </c>
      <c r="R17" s="50">
        <v>63</v>
      </c>
      <c r="S17" s="50">
        <v>67</v>
      </c>
      <c r="T17" s="50">
        <v>70</v>
      </c>
      <c r="U17" s="50">
        <v>64</v>
      </c>
      <c r="V17" s="50">
        <v>88</v>
      </c>
      <c r="W17" s="51" t="s">
        <v>67</v>
      </c>
      <c r="Y17" s="53">
        <f>IF(OR(C$16&lt;&gt;0,E17&lt;&gt;0,J17&lt;&gt;0,K17&lt;&gt;0,M17&lt;&gt;0),1,0)</f>
        <v>0</v>
      </c>
      <c r="Z17" s="96">
        <v>0</v>
      </c>
      <c r="AA17" s="54">
        <f t="shared" si="0"/>
        <v>0</v>
      </c>
      <c r="AB17" s="96">
        <v>0</v>
      </c>
      <c r="AC17" s="54">
        <f t="shared" si="1"/>
        <v>0</v>
      </c>
      <c r="AD17" s="54">
        <f t="shared" si="2"/>
        <v>0</v>
      </c>
      <c r="AE17" s="54">
        <f t="shared" si="3"/>
        <v>0</v>
      </c>
      <c r="AF17" s="54">
        <f>IF(ISBLANK($I17),0,IF($J17&gt;VLOOKUP($I17,Meal_limits,IF($C$16&gt;Old_meal_rates_end_date,4,2),0),1,0))</f>
        <v>0</v>
      </c>
      <c r="AG17" s="54">
        <f>IF(ISBLANK($I17),0,IF($J17&gt;VLOOKUP($I17,Meal_limits,IF($C$16&gt;Old_meal_rates_end_date,5,3),0),1,0))</f>
        <v>0</v>
      </c>
      <c r="AH17" s="54">
        <f t="shared" si="4"/>
        <v>0</v>
      </c>
      <c r="AI17" s="54">
        <v>1</v>
      </c>
    </row>
    <row r="18" spans="1:35" ht="12" customHeight="1" x14ac:dyDescent="0.2">
      <c r="A18" s="163">
        <v>1</v>
      </c>
      <c r="B18" s="151"/>
      <c r="C18" s="199"/>
      <c r="D18" s="188"/>
      <c r="E18" s="185"/>
      <c r="F18" s="188"/>
      <c r="G18" s="188"/>
      <c r="H18" s="52"/>
      <c r="I18" s="15"/>
      <c r="J18" s="118"/>
      <c r="K18" s="191"/>
      <c r="L18" s="119"/>
      <c r="M18" s="120"/>
      <c r="O18" s="208"/>
      <c r="P18" s="49" t="s">
        <v>68</v>
      </c>
      <c r="Q18" s="50">
        <v>64</v>
      </c>
      <c r="R18" s="50">
        <v>70</v>
      </c>
      <c r="S18" s="50">
        <v>66</v>
      </c>
      <c r="T18" s="50">
        <v>45</v>
      </c>
      <c r="U18" s="50">
        <v>75</v>
      </c>
      <c r="V18" s="50">
        <v>37</v>
      </c>
      <c r="W18" s="51" t="s">
        <v>69</v>
      </c>
      <c r="Y18" s="53">
        <f>IF(OR(C$16&lt;&gt;0,E18&lt;&gt;0,J18&lt;&gt;0,K18&lt;&gt;0,M18&lt;&gt;0),1,0)</f>
        <v>0</v>
      </c>
      <c r="Z18" s="96">
        <v>0</v>
      </c>
      <c r="AA18" s="54">
        <f t="shared" si="0"/>
        <v>0</v>
      </c>
      <c r="AB18" s="96">
        <v>0</v>
      </c>
      <c r="AC18" s="54">
        <f t="shared" si="1"/>
        <v>0</v>
      </c>
      <c r="AD18" s="54">
        <f t="shared" si="2"/>
        <v>0</v>
      </c>
      <c r="AE18" s="54">
        <f t="shared" si="3"/>
        <v>0</v>
      </c>
      <c r="AF18" s="54">
        <f>IF(ISBLANK($I18),0,IF($J18&gt;VLOOKUP($I18,Meal_limits,IF($C$16&gt;Old_meal_rates_end_date,4,2),0),1,0))</f>
        <v>0</v>
      </c>
      <c r="AG18" s="54">
        <f>IF(ISBLANK($I18),0,IF($J18&gt;VLOOKUP($I18,Meal_limits,IF($C$16&gt;Old_meal_rates_end_date,5,3),0),1,0))</f>
        <v>0</v>
      </c>
      <c r="AH18" s="54">
        <f t="shared" si="4"/>
        <v>0</v>
      </c>
      <c r="AI18" s="54">
        <v>1</v>
      </c>
    </row>
    <row r="19" spans="1:35" ht="12" customHeight="1" x14ac:dyDescent="0.2">
      <c r="A19" s="161">
        <v>1</v>
      </c>
      <c r="B19" s="151">
        <v>4</v>
      </c>
      <c r="C19" s="197"/>
      <c r="D19" s="200"/>
      <c r="E19" s="183"/>
      <c r="F19" s="186"/>
      <c r="G19" s="186"/>
      <c r="H19" s="52"/>
      <c r="I19" s="17"/>
      <c r="J19" s="16"/>
      <c r="K19" s="189"/>
      <c r="L19" s="121"/>
      <c r="M19" s="114"/>
      <c r="O19" s="208" t="str">
        <f>IF(MAX($C$233:$C$240)&gt;4,VLOOKUP(5,$C$233:$D$240,2,0),"-")</f>
        <v>-</v>
      </c>
      <c r="P19" s="49" t="s">
        <v>70</v>
      </c>
      <c r="Q19" s="50">
        <v>75</v>
      </c>
      <c r="R19" s="50">
        <v>75</v>
      </c>
      <c r="S19" s="50">
        <v>72</v>
      </c>
      <c r="T19" s="50">
        <v>50</v>
      </c>
      <c r="U19" s="50">
        <v>80</v>
      </c>
      <c r="V19" s="50">
        <v>48</v>
      </c>
      <c r="W19" s="51" t="s">
        <v>71</v>
      </c>
      <c r="Y19" s="53">
        <f>IF(OR(C$19&lt;&gt;0,E19&lt;&gt;0,J19&lt;&gt;0,K19&lt;&gt;0,M19&lt;&gt;0),1,0)</f>
        <v>0</v>
      </c>
      <c r="Z19" s="54">
        <f>IF(AND($Y19&gt;0,C19=0),1,0)</f>
        <v>0</v>
      </c>
      <c r="AA19" s="54">
        <f t="shared" si="0"/>
        <v>0</v>
      </c>
      <c r="AB19" s="54">
        <f>IF(AND(Y19&gt;0,NOT(ISTEXT(D19))),1,0)</f>
        <v>0</v>
      </c>
      <c r="AC19" s="54">
        <f t="shared" si="1"/>
        <v>0</v>
      </c>
      <c r="AD19" s="54">
        <f t="shared" si="2"/>
        <v>0</v>
      </c>
      <c r="AE19" s="54">
        <f t="shared" si="3"/>
        <v>0</v>
      </c>
      <c r="AF19" s="54">
        <f>IF(ISBLANK($I19),0,IF($J19&gt;VLOOKUP($I19,Meal_limits,IF($C$19&gt;Old_meal_rates_end_date,4,2),0),1,0))</f>
        <v>0</v>
      </c>
      <c r="AG19" s="54">
        <f>IF(ISBLANK($I19),0,IF($J19&gt;VLOOKUP($I19,Meal_limits,IF($C$19&gt;Old_meal_rates_end_date,5,3),0),1,0))</f>
        <v>0</v>
      </c>
      <c r="AH19" s="54">
        <f t="shared" si="4"/>
        <v>0</v>
      </c>
      <c r="AI19" s="54">
        <v>1</v>
      </c>
    </row>
    <row r="20" spans="1:35" ht="12" customHeight="1" x14ac:dyDescent="0.2">
      <c r="A20" s="162">
        <v>1</v>
      </c>
      <c r="B20" s="151"/>
      <c r="C20" s="198"/>
      <c r="D20" s="187"/>
      <c r="E20" s="184"/>
      <c r="F20" s="187"/>
      <c r="G20" s="187"/>
      <c r="H20" s="52"/>
      <c r="I20" s="15"/>
      <c r="J20" s="115"/>
      <c r="K20" s="190"/>
      <c r="L20" s="116"/>
      <c r="M20" s="117"/>
      <c r="O20" s="208"/>
      <c r="P20" s="49" t="s">
        <v>72</v>
      </c>
      <c r="Q20" s="50">
        <v>46</v>
      </c>
      <c r="R20" s="50">
        <v>25</v>
      </c>
      <c r="S20" s="50">
        <v>21</v>
      </c>
      <c r="T20" s="50">
        <v>18</v>
      </c>
      <c r="U20" s="50">
        <v>30</v>
      </c>
      <c r="V20" s="50">
        <v>25</v>
      </c>
      <c r="W20" s="51" t="s">
        <v>73</v>
      </c>
      <c r="Y20" s="53">
        <f>IF(OR(C$19&lt;&gt;0,E20&lt;&gt;0,J20&lt;&gt;0,K20&lt;&gt;0,M20&lt;&gt;0),1,0)</f>
        <v>0</v>
      </c>
      <c r="Z20" s="96">
        <v>0</v>
      </c>
      <c r="AA20" s="54">
        <f t="shared" si="0"/>
        <v>0</v>
      </c>
      <c r="AB20" s="96">
        <v>0</v>
      </c>
      <c r="AC20" s="54">
        <f t="shared" si="1"/>
        <v>0</v>
      </c>
      <c r="AD20" s="54">
        <f t="shared" si="2"/>
        <v>0</v>
      </c>
      <c r="AE20" s="54">
        <f t="shared" si="3"/>
        <v>0</v>
      </c>
      <c r="AF20" s="54">
        <f>IF(ISBLANK($I20),0,IF($J20&gt;VLOOKUP($I20,Meal_limits,IF($C$19&gt;Old_meal_rates_end_date,4,2),0),1,0))</f>
        <v>0</v>
      </c>
      <c r="AG20" s="54">
        <f>IF(ISBLANK($I20),0,IF($J20&gt;VLOOKUP($I20,Meal_limits,IF($C$19&gt;Old_meal_rates_end_date,5,3),0),1,0))</f>
        <v>0</v>
      </c>
      <c r="AH20" s="54">
        <f t="shared" si="4"/>
        <v>0</v>
      </c>
      <c r="AI20" s="54">
        <v>1</v>
      </c>
    </row>
    <row r="21" spans="1:35" ht="12" customHeight="1" x14ac:dyDescent="0.2">
      <c r="A21" s="163">
        <v>1</v>
      </c>
      <c r="B21" s="151"/>
      <c r="C21" s="199"/>
      <c r="D21" s="188"/>
      <c r="E21" s="185"/>
      <c r="F21" s="188"/>
      <c r="G21" s="188"/>
      <c r="H21" s="52"/>
      <c r="I21" s="15"/>
      <c r="J21" s="118"/>
      <c r="K21" s="191"/>
      <c r="L21" s="119"/>
      <c r="M21" s="120"/>
      <c r="O21" s="208"/>
      <c r="P21" s="49" t="s">
        <v>74</v>
      </c>
      <c r="Q21" s="50">
        <v>58</v>
      </c>
      <c r="R21" s="50">
        <v>42</v>
      </c>
      <c r="S21" s="50">
        <v>38</v>
      </c>
      <c r="T21" s="50">
        <v>30</v>
      </c>
      <c r="U21" s="50">
        <v>47</v>
      </c>
      <c r="V21" s="50">
        <v>44</v>
      </c>
      <c r="W21" s="51" t="s">
        <v>75</v>
      </c>
      <c r="Y21" s="53">
        <f>IF(OR(C$19&lt;&gt;0,E21&lt;&gt;0,J21&lt;&gt;0,K21&lt;&gt;0,M21&lt;&gt;0),1,0)</f>
        <v>0</v>
      </c>
      <c r="Z21" s="96">
        <v>0</v>
      </c>
      <c r="AA21" s="54">
        <f t="shared" si="0"/>
        <v>0</v>
      </c>
      <c r="AB21" s="96">
        <v>0</v>
      </c>
      <c r="AC21" s="54">
        <f t="shared" si="1"/>
        <v>0</v>
      </c>
      <c r="AD21" s="54">
        <f t="shared" si="2"/>
        <v>0</v>
      </c>
      <c r="AE21" s="54">
        <f t="shared" si="3"/>
        <v>0</v>
      </c>
      <c r="AF21" s="54">
        <f>IF(ISBLANK($I21),0,IF($J21&gt;VLOOKUP($I21,Meal_limits,IF($C$19&gt;Old_meal_rates_end_date,4,2),0),1,0))</f>
        <v>0</v>
      </c>
      <c r="AG21" s="54">
        <f>IF(ISBLANK($I21),0,IF($J21&gt;VLOOKUP($I21,Meal_limits,IF($C$19&gt;Old_meal_rates_end_date,5,3),0),1,0))</f>
        <v>0</v>
      </c>
      <c r="AH21" s="54">
        <f t="shared" si="4"/>
        <v>0</v>
      </c>
      <c r="AI21" s="54">
        <v>1</v>
      </c>
    </row>
    <row r="22" spans="1:35" ht="12" customHeight="1" x14ac:dyDescent="0.2">
      <c r="A22" s="161">
        <v>1</v>
      </c>
      <c r="B22" s="151">
        <v>5</v>
      </c>
      <c r="C22" s="197"/>
      <c r="D22" s="200"/>
      <c r="E22" s="183"/>
      <c r="F22" s="200"/>
      <c r="G22" s="200"/>
      <c r="H22" s="52"/>
      <c r="I22" s="17"/>
      <c r="J22" s="16"/>
      <c r="K22" s="189"/>
      <c r="L22" s="121"/>
      <c r="M22" s="114"/>
      <c r="O22" s="208" t="str">
        <f>IF(MAX($C$233:$C$240)&gt;5,VLOOKUP(6,$C$233:$D$240,2,0),"-")</f>
        <v>-</v>
      </c>
      <c r="P22" s="49" t="s">
        <v>76</v>
      </c>
      <c r="Q22" s="50">
        <v>60</v>
      </c>
      <c r="R22" s="50">
        <v>47</v>
      </c>
      <c r="S22" s="50">
        <v>43</v>
      </c>
      <c r="T22" s="50">
        <v>34</v>
      </c>
      <c r="U22" s="50">
        <v>52</v>
      </c>
      <c r="V22" s="50">
        <v>46</v>
      </c>
      <c r="W22" s="51" t="s">
        <v>77</v>
      </c>
      <c r="Y22" s="53">
        <f>IF(OR(C$22&lt;&gt;0,E22&lt;&gt;0,J22&lt;&gt;0,K22&lt;&gt;0,M22&lt;&gt;0),1,0)</f>
        <v>0</v>
      </c>
      <c r="Z22" s="54">
        <f>IF(AND($Y22&gt;0,C22=0),1,0)</f>
        <v>0</v>
      </c>
      <c r="AA22" s="54">
        <f t="shared" si="0"/>
        <v>0</v>
      </c>
      <c r="AB22" s="54">
        <f>IF(AND(Y22&gt;0,NOT(ISTEXT(D22))),1,0)</f>
        <v>0</v>
      </c>
      <c r="AC22" s="54">
        <f t="shared" si="1"/>
        <v>0</v>
      </c>
      <c r="AD22" s="54">
        <f t="shared" si="2"/>
        <v>0</v>
      </c>
      <c r="AE22" s="54">
        <f t="shared" si="3"/>
        <v>0</v>
      </c>
      <c r="AF22" s="54">
        <f t="shared" ref="AF22:AF24" si="5">IF(ISBLANK($I22),0,IF($J22&gt;VLOOKUP($I22,Meal_limits,IF($C$22&gt;Old_meal_rates_end_date,4,2),0),1,0))</f>
        <v>0</v>
      </c>
      <c r="AG22" s="54">
        <f t="shared" ref="AG22:AG24" si="6">IF(ISBLANK($I22),0,IF($J22&gt;VLOOKUP($I22,Meal_limits,IF($C$22&gt;Old_meal_rates_end_date,5,3),0),1,0))</f>
        <v>0</v>
      </c>
      <c r="AH22" s="54">
        <f t="shared" si="4"/>
        <v>0</v>
      </c>
      <c r="AI22" s="54">
        <v>1</v>
      </c>
    </row>
    <row r="23" spans="1:35" ht="12" customHeight="1" x14ac:dyDescent="0.2">
      <c r="A23" s="162">
        <v>1</v>
      </c>
      <c r="B23" s="151"/>
      <c r="C23" s="198"/>
      <c r="D23" s="187"/>
      <c r="E23" s="184"/>
      <c r="F23" s="187"/>
      <c r="G23" s="187"/>
      <c r="H23" s="52"/>
      <c r="I23" s="15"/>
      <c r="J23" s="115"/>
      <c r="K23" s="190"/>
      <c r="L23" s="116"/>
      <c r="M23" s="117"/>
      <c r="O23" s="208"/>
      <c r="P23" s="49" t="s">
        <v>78</v>
      </c>
      <c r="Q23" s="50">
        <v>65</v>
      </c>
      <c r="R23" s="50">
        <v>66</v>
      </c>
      <c r="S23" s="50">
        <v>62</v>
      </c>
      <c r="T23" s="50">
        <v>60</v>
      </c>
      <c r="U23" s="50">
        <v>71</v>
      </c>
      <c r="V23" s="50">
        <v>37</v>
      </c>
      <c r="W23" s="51" t="s">
        <v>79</v>
      </c>
      <c r="Y23" s="53">
        <f>IF(OR(C$22&lt;&gt;0,E23&lt;&gt;0,J23&lt;&gt;0,K23&lt;&gt;0,M23&lt;&gt;0),1,0)</f>
        <v>0</v>
      </c>
      <c r="Z23" s="96">
        <v>0</v>
      </c>
      <c r="AA23" s="54">
        <f t="shared" si="0"/>
        <v>0</v>
      </c>
      <c r="AB23" s="96">
        <v>0</v>
      </c>
      <c r="AC23" s="54">
        <f t="shared" si="1"/>
        <v>0</v>
      </c>
      <c r="AD23" s="54">
        <f t="shared" si="2"/>
        <v>0</v>
      </c>
      <c r="AE23" s="54">
        <f t="shared" si="3"/>
        <v>0</v>
      </c>
      <c r="AF23" s="54">
        <f t="shared" si="5"/>
        <v>0</v>
      </c>
      <c r="AG23" s="54">
        <f t="shared" si="6"/>
        <v>0</v>
      </c>
      <c r="AH23" s="54">
        <f t="shared" si="4"/>
        <v>0</v>
      </c>
      <c r="AI23" s="54">
        <v>1</v>
      </c>
    </row>
    <row r="24" spans="1:35" ht="12" customHeight="1" x14ac:dyDescent="0.2">
      <c r="A24" s="163">
        <v>1</v>
      </c>
      <c r="B24" s="151"/>
      <c r="C24" s="199"/>
      <c r="D24" s="188"/>
      <c r="E24" s="185"/>
      <c r="F24" s="188"/>
      <c r="G24" s="188"/>
      <c r="H24" s="52"/>
      <c r="I24" s="144"/>
      <c r="J24" s="118"/>
      <c r="K24" s="191"/>
      <c r="L24" s="119"/>
      <c r="M24" s="120"/>
      <c r="O24" s="208"/>
      <c r="P24" s="49" t="s">
        <v>80</v>
      </c>
      <c r="Q24" s="50">
        <v>69</v>
      </c>
      <c r="R24" s="50">
        <v>67</v>
      </c>
      <c r="S24" s="50">
        <v>63</v>
      </c>
      <c r="T24" s="50">
        <v>47</v>
      </c>
      <c r="U24" s="50">
        <v>72</v>
      </c>
      <c r="V24" s="50">
        <v>41</v>
      </c>
      <c r="W24" s="51" t="s">
        <v>81</v>
      </c>
      <c r="Y24" s="53">
        <f>IF(OR(C$22&lt;&gt;0,E24&lt;&gt;0,J24&lt;&gt;0,K24&lt;&gt;0,M24&lt;&gt;0),1,0)</f>
        <v>0</v>
      </c>
      <c r="Z24" s="96">
        <v>0</v>
      </c>
      <c r="AA24" s="54">
        <f t="shared" si="0"/>
        <v>0</v>
      </c>
      <c r="AB24" s="96">
        <v>0</v>
      </c>
      <c r="AC24" s="54">
        <f t="shared" si="1"/>
        <v>0</v>
      </c>
      <c r="AD24" s="54">
        <f t="shared" si="2"/>
        <v>0</v>
      </c>
      <c r="AE24" s="54">
        <f t="shared" si="3"/>
        <v>0</v>
      </c>
      <c r="AF24" s="54">
        <f t="shared" si="5"/>
        <v>0</v>
      </c>
      <c r="AG24" s="54">
        <f t="shared" si="6"/>
        <v>0</v>
      </c>
      <c r="AH24" s="54">
        <f t="shared" si="4"/>
        <v>0</v>
      </c>
      <c r="AI24" s="54">
        <v>1</v>
      </c>
    </row>
    <row r="25" spans="1:35" ht="12" customHeight="1" thickBot="1" x14ac:dyDescent="0.25">
      <c r="A25" s="161">
        <v>1</v>
      </c>
      <c r="B25" s="151">
        <v>6</v>
      </c>
      <c r="C25" s="197"/>
      <c r="D25" s="200"/>
      <c r="E25" s="183"/>
      <c r="F25" s="186"/>
      <c r="G25" s="186"/>
      <c r="H25" s="52"/>
      <c r="I25" s="17"/>
      <c r="J25" s="16"/>
      <c r="K25" s="189"/>
      <c r="L25" s="121"/>
      <c r="M25" s="114"/>
      <c r="N25" s="149"/>
      <c r="O25" s="208" t="str">
        <f>IF(MAX($C$233:$C$240)&gt;6,VLOOKUP(7,$C$233:$D$240,2,0),"-")</f>
        <v>-</v>
      </c>
      <c r="P25" s="57" t="s">
        <v>82</v>
      </c>
      <c r="Q25" s="58">
        <v>44</v>
      </c>
      <c r="R25" s="58">
        <v>25</v>
      </c>
      <c r="S25" s="58">
        <v>21</v>
      </c>
      <c r="T25" s="58">
        <v>16</v>
      </c>
      <c r="U25" s="58">
        <v>30</v>
      </c>
      <c r="V25" s="58">
        <v>30</v>
      </c>
      <c r="W25" s="59" t="s">
        <v>83</v>
      </c>
      <c r="Y25" s="53">
        <f>IF(OR(C$25&lt;&gt;0,E25&lt;&gt;0,J25&lt;&gt;0,K25&lt;&gt;0,M25&lt;&gt;0),1,0)</f>
        <v>0</v>
      </c>
      <c r="Z25" s="54">
        <f>IF(AND($Y25&gt;0,C25=0),1,0)</f>
        <v>0</v>
      </c>
      <c r="AA25" s="54">
        <f t="shared" si="0"/>
        <v>0</v>
      </c>
      <c r="AB25" s="54">
        <f>IF(AND(Y25&gt;0,NOT(ISTEXT(D25))),1,0)</f>
        <v>0</v>
      </c>
      <c r="AC25" s="54">
        <f t="shared" si="1"/>
        <v>0</v>
      </c>
      <c r="AD25" s="54">
        <f t="shared" si="2"/>
        <v>0</v>
      </c>
      <c r="AE25" s="54">
        <f t="shared" si="3"/>
        <v>0</v>
      </c>
      <c r="AF25" s="54">
        <f>IF(ISBLANK($I25),0,IF($J25&gt;VLOOKUP($I25,Meal_limits,IF($C$25&gt;Old_meal_rates_end_date,4,2),0),1,0))</f>
        <v>0</v>
      </c>
      <c r="AG25" s="54">
        <f>IF(ISBLANK($I25),0,IF($J25&gt;VLOOKUP($I25,Meal_limits,IF($C$25&gt;Old_meal_rates_end_date,5,3),0),1,0))</f>
        <v>0</v>
      </c>
      <c r="AH25" s="54">
        <f t="shared" si="4"/>
        <v>0</v>
      </c>
      <c r="AI25" s="54">
        <v>1</v>
      </c>
    </row>
    <row r="26" spans="1:35" ht="12" customHeight="1" thickTop="1" thickBot="1" x14ac:dyDescent="0.25">
      <c r="A26" s="162">
        <v>1</v>
      </c>
      <c r="B26" s="151"/>
      <c r="C26" s="198"/>
      <c r="D26" s="187"/>
      <c r="E26" s="184"/>
      <c r="F26" s="187"/>
      <c r="G26" s="187"/>
      <c r="H26" s="52"/>
      <c r="I26" s="15"/>
      <c r="J26" s="115"/>
      <c r="K26" s="190"/>
      <c r="L26" s="116"/>
      <c r="M26" s="117"/>
      <c r="N26" s="149"/>
      <c r="O26" s="208"/>
      <c r="P26" s="37"/>
      <c r="Q26" s="148"/>
      <c r="R26" s="148"/>
      <c r="S26" s="148"/>
      <c r="T26" s="148"/>
      <c r="U26" s="148"/>
      <c r="V26" s="148"/>
      <c r="W26" s="37"/>
      <c r="Y26" s="53">
        <f>IF(OR(C$25&lt;&gt;0,E26&lt;&gt;0,J26&lt;&gt;0,K26&lt;&gt;0,M26&lt;&gt;0),1,0)</f>
        <v>0</v>
      </c>
      <c r="Z26" s="96">
        <v>0</v>
      </c>
      <c r="AA26" s="54">
        <f t="shared" si="0"/>
        <v>0</v>
      </c>
      <c r="AB26" s="96">
        <v>0</v>
      </c>
      <c r="AC26" s="54">
        <f t="shared" si="1"/>
        <v>0</v>
      </c>
      <c r="AD26" s="54">
        <f t="shared" si="2"/>
        <v>0</v>
      </c>
      <c r="AE26" s="54">
        <f t="shared" si="3"/>
        <v>0</v>
      </c>
      <c r="AF26" s="54">
        <f>IF(ISBLANK($I26),0,IF($J26&gt;VLOOKUP($I26,Meal_limits,IF($C$25&gt;Old_meal_rates_end_date,4,2),0),1,0))</f>
        <v>0</v>
      </c>
      <c r="AG26" s="54">
        <f>IF(ISBLANK($I26),0,IF($J26&gt;VLOOKUP($I26,Meal_limits,IF($C$25&gt;Old_meal_rates_end_date,5,3),0),1,0))</f>
        <v>0</v>
      </c>
      <c r="AH26" s="54">
        <f t="shared" si="4"/>
        <v>0</v>
      </c>
      <c r="AI26" s="54">
        <v>1</v>
      </c>
    </row>
    <row r="27" spans="1:35" ht="12" customHeight="1" thickTop="1" x14ac:dyDescent="0.2">
      <c r="A27" s="163">
        <v>1</v>
      </c>
      <c r="B27" s="151"/>
      <c r="C27" s="199"/>
      <c r="D27" s="188"/>
      <c r="E27" s="185"/>
      <c r="F27" s="188"/>
      <c r="G27" s="188"/>
      <c r="H27" s="52"/>
      <c r="I27" s="144"/>
      <c r="J27" s="118"/>
      <c r="K27" s="191"/>
      <c r="L27" s="119"/>
      <c r="M27" s="120"/>
      <c r="N27" s="205" t="s">
        <v>84</v>
      </c>
      <c r="O27" s="208"/>
      <c r="P27" s="206" t="s">
        <v>85</v>
      </c>
      <c r="Q27" s="201">
        <v>41639</v>
      </c>
      <c r="R27" s="201"/>
      <c r="S27" s="201">
        <v>41640</v>
      </c>
      <c r="T27" s="202"/>
      <c r="U27" s="50"/>
      <c r="V27" s="50"/>
      <c r="W27" s="19"/>
      <c r="Y27" s="53">
        <f>IF(OR(C$25&lt;&gt;0,E27&lt;&gt;0,J27&lt;&gt;0,K27&lt;&gt;0,M27&lt;&gt;0),1,0)</f>
        <v>0</v>
      </c>
      <c r="Z27" s="96">
        <v>0</v>
      </c>
      <c r="AA27" s="54">
        <f t="shared" si="0"/>
        <v>0</v>
      </c>
      <c r="AB27" s="96">
        <v>0</v>
      </c>
      <c r="AC27" s="54">
        <f t="shared" si="1"/>
        <v>0</v>
      </c>
      <c r="AD27" s="54">
        <f t="shared" si="2"/>
        <v>0</v>
      </c>
      <c r="AE27" s="54">
        <f t="shared" si="3"/>
        <v>0</v>
      </c>
      <c r="AF27" s="54">
        <f>IF(ISBLANK($I27),0,IF($J27&gt;VLOOKUP($I27,Meal_limits,IF($C$25&gt;Old_meal_rates_end_date,4,2),0),1,0))</f>
        <v>0</v>
      </c>
      <c r="AG27" s="54">
        <f>IF(ISBLANK($I27),0,IF($J27&gt;VLOOKUP($I27,Meal_limits,IF($C$25&gt;Old_meal_rates_end_date,5,3),0),1,0))</f>
        <v>0</v>
      </c>
      <c r="AH27" s="54">
        <f t="shared" si="4"/>
        <v>0</v>
      </c>
      <c r="AI27" s="54">
        <v>1</v>
      </c>
    </row>
    <row r="28" spans="1:35" ht="12" customHeight="1" x14ac:dyDescent="0.2">
      <c r="A28" s="166">
        <f t="shared" ref="A28" si="7">IF(ISBLANK(C28),0,1)</f>
        <v>0</v>
      </c>
      <c r="B28" s="151">
        <v>7</v>
      </c>
      <c r="C28" s="197"/>
      <c r="D28" s="200"/>
      <c r="E28" s="183"/>
      <c r="F28" s="186"/>
      <c r="G28" s="186"/>
      <c r="H28" s="52"/>
      <c r="I28" s="17"/>
      <c r="J28" s="16"/>
      <c r="K28" s="189"/>
      <c r="L28" s="113"/>
      <c r="M28" s="114"/>
      <c r="N28" s="205"/>
      <c r="O28" s="135"/>
      <c r="P28" s="207"/>
      <c r="Q28" s="203"/>
      <c r="R28" s="203"/>
      <c r="S28" s="203"/>
      <c r="T28" s="204"/>
      <c r="U28" s="50"/>
      <c r="V28" s="50"/>
      <c r="W28" s="19"/>
      <c r="Y28" s="53">
        <f>IF(OR(C$28&lt;&gt;0,E28&lt;&gt;0,J28&lt;&gt;0,K28&lt;&gt;0,M28&lt;&gt;0),1,0)</f>
        <v>0</v>
      </c>
      <c r="Z28" s="54">
        <f>IF(AND($Y28&gt;0,C28=0),1,0)</f>
        <v>0</v>
      </c>
      <c r="AA28" s="54">
        <f t="shared" si="0"/>
        <v>0</v>
      </c>
      <c r="AB28" s="54">
        <f>IF(AND(Y28&gt;0,NOT(ISTEXT(D28))),1,0)</f>
        <v>0</v>
      </c>
      <c r="AC28" s="54">
        <f t="shared" si="1"/>
        <v>0</v>
      </c>
      <c r="AD28" s="54">
        <f t="shared" si="2"/>
        <v>0</v>
      </c>
      <c r="AE28" s="54">
        <f t="shared" si="3"/>
        <v>0</v>
      </c>
      <c r="AF28" s="54">
        <f>IF(ISBLANK($I28),0,IF($J28&gt;VLOOKUP($I28,Meal_limits,IF($C$28&gt;Old_meal_rates_end_date,4,2),0),1,0))</f>
        <v>0</v>
      </c>
      <c r="AG28" s="54">
        <f>IF(ISBLANK($I28),0,IF($J28&gt;VLOOKUP($I28,Meal_limits,IF($C$28&gt;Old_meal_rates_end_date,5,3),0),1,0))</f>
        <v>0</v>
      </c>
      <c r="AH28" s="54">
        <f t="shared" si="4"/>
        <v>0</v>
      </c>
      <c r="AI28" s="54">
        <v>1</v>
      </c>
    </row>
    <row r="29" spans="1:35" ht="12" customHeight="1" x14ac:dyDescent="0.35">
      <c r="A29" s="167">
        <f>A28</f>
        <v>0</v>
      </c>
      <c r="B29" s="151"/>
      <c r="C29" s="198"/>
      <c r="D29" s="187"/>
      <c r="E29" s="184"/>
      <c r="F29" s="187"/>
      <c r="G29" s="187"/>
      <c r="H29" s="52"/>
      <c r="I29" s="15"/>
      <c r="J29" s="115"/>
      <c r="K29" s="190"/>
      <c r="L29" s="116"/>
      <c r="M29" s="117"/>
      <c r="N29" s="205"/>
      <c r="O29" s="135"/>
      <c r="P29" s="13" t="s">
        <v>86</v>
      </c>
      <c r="Q29" s="45" t="s">
        <v>87</v>
      </c>
      <c r="R29" s="45" t="s">
        <v>88</v>
      </c>
      <c r="S29" s="45" t="s">
        <v>87</v>
      </c>
      <c r="T29" s="68" t="s">
        <v>88</v>
      </c>
      <c r="U29" s="50"/>
      <c r="V29" s="50"/>
      <c r="W29" s="19"/>
      <c r="Y29" s="53">
        <f>IF(OR(C$28&lt;&gt;0,E29&lt;&gt;0,J29&lt;&gt;0,K29&lt;&gt;0,M29&lt;&gt;0),1,0)</f>
        <v>0</v>
      </c>
      <c r="Z29" s="96">
        <v>0</v>
      </c>
      <c r="AA29" s="54">
        <f t="shared" si="0"/>
        <v>0</v>
      </c>
      <c r="AB29" s="96">
        <v>0</v>
      </c>
      <c r="AC29" s="54">
        <f t="shared" si="1"/>
        <v>0</v>
      </c>
      <c r="AD29" s="54">
        <f t="shared" si="2"/>
        <v>0</v>
      </c>
      <c r="AE29" s="54">
        <f t="shared" si="3"/>
        <v>0</v>
      </c>
      <c r="AF29" s="54">
        <f>IF(ISBLANK($I29),0,IF($J29&gt;VLOOKUP($I29,Meal_limits,IF($C$28&gt;Old_meal_rates_end_date,4,2),0),1,0))</f>
        <v>0</v>
      </c>
      <c r="AG29" s="54">
        <f>IF(ISBLANK($I29),0,IF($J29&gt;VLOOKUP($I29,Meal_limits,IF($C$28&gt;Old_meal_rates_end_date,5,3),0),1,0))</f>
        <v>0</v>
      </c>
      <c r="AH29" s="54">
        <f t="shared" si="4"/>
        <v>0</v>
      </c>
      <c r="AI29" s="54">
        <v>1</v>
      </c>
    </row>
    <row r="30" spans="1:35" ht="12" customHeight="1" x14ac:dyDescent="0.2">
      <c r="A30" s="168">
        <f>A28</f>
        <v>0</v>
      </c>
      <c r="B30" s="151"/>
      <c r="C30" s="199"/>
      <c r="D30" s="188"/>
      <c r="E30" s="185"/>
      <c r="F30" s="188"/>
      <c r="G30" s="188"/>
      <c r="H30" s="52"/>
      <c r="I30" s="144"/>
      <c r="J30" s="118"/>
      <c r="K30" s="191"/>
      <c r="L30" s="119"/>
      <c r="M30" s="120"/>
      <c r="N30" s="205"/>
      <c r="O30" s="135"/>
      <c r="P30" s="71" t="s">
        <v>89</v>
      </c>
      <c r="Q30" s="72">
        <v>10</v>
      </c>
      <c r="R30" s="72">
        <v>5</v>
      </c>
      <c r="S30" s="72">
        <v>10</v>
      </c>
      <c r="T30" s="73">
        <v>7.5</v>
      </c>
      <c r="U30" s="50"/>
      <c r="V30" s="50"/>
      <c r="W30" s="19"/>
      <c r="Y30" s="53">
        <f>IF(OR(C$28&lt;&gt;0,E30&lt;&gt;0,J30&lt;&gt;0,K30&lt;&gt;0,M30&lt;&gt;0),1,0)</f>
        <v>0</v>
      </c>
      <c r="Z30" s="96">
        <v>0</v>
      </c>
      <c r="AA30" s="54">
        <f t="shared" si="0"/>
        <v>0</v>
      </c>
      <c r="AB30" s="96">
        <v>0</v>
      </c>
      <c r="AC30" s="54">
        <f t="shared" si="1"/>
        <v>0</v>
      </c>
      <c r="AD30" s="54">
        <f t="shared" si="2"/>
        <v>0</v>
      </c>
      <c r="AE30" s="54">
        <f t="shared" si="3"/>
        <v>0</v>
      </c>
      <c r="AF30" s="54">
        <f>IF(ISBLANK($I30),0,IF($J30&gt;VLOOKUP($I30,Meal_limits,IF($C$28&gt;Old_meal_rates_end_date,4,2),0),1,0))</f>
        <v>0</v>
      </c>
      <c r="AG30" s="54">
        <f>IF(ISBLANK($I30),0,IF($J30&gt;VLOOKUP($I30,Meal_limits,IF($C$28&gt;Old_meal_rates_end_date,5,3),0),1,0))</f>
        <v>0</v>
      </c>
      <c r="AH30" s="54">
        <f t="shared" si="4"/>
        <v>0</v>
      </c>
      <c r="AI30" s="54">
        <v>1</v>
      </c>
    </row>
    <row r="31" spans="1:35" ht="12" customHeight="1" x14ac:dyDescent="0.2">
      <c r="A31" s="166">
        <f t="shared" ref="A31:A94" si="8">IF(ISBLANK(C31),0,1)</f>
        <v>0</v>
      </c>
      <c r="B31" s="151">
        <v>8</v>
      </c>
      <c r="C31" s="197"/>
      <c r="D31" s="200"/>
      <c r="E31" s="183"/>
      <c r="F31" s="186"/>
      <c r="G31" s="186"/>
      <c r="H31" s="52"/>
      <c r="I31" s="17"/>
      <c r="J31" s="16"/>
      <c r="K31" s="189"/>
      <c r="L31" s="121"/>
      <c r="M31" s="114"/>
      <c r="N31" s="205"/>
      <c r="O31" s="135"/>
      <c r="P31" s="43" t="s">
        <v>90</v>
      </c>
      <c r="Q31" s="76">
        <v>17.5</v>
      </c>
      <c r="R31" s="76">
        <v>10</v>
      </c>
      <c r="S31" s="76">
        <v>17.5</v>
      </c>
      <c r="T31" s="77">
        <v>12.5</v>
      </c>
      <c r="U31" s="50"/>
      <c r="V31" s="50"/>
      <c r="W31" s="19"/>
      <c r="Y31" s="53">
        <f>IF(OR(C$31&lt;&gt;0,E31&lt;&gt;0,J31&lt;&gt;0,K31&lt;&gt;0,M31&lt;&gt;0),1,0)</f>
        <v>0</v>
      </c>
      <c r="Z31" s="54">
        <f>IF(AND($Y31&gt;0,C31=0),1,0)</f>
        <v>0</v>
      </c>
      <c r="AA31" s="54">
        <f t="shared" si="0"/>
        <v>0</v>
      </c>
      <c r="AB31" s="54">
        <f>IF(AND(Y31&gt;0,NOT(ISTEXT(D31))),1,0)</f>
        <v>0</v>
      </c>
      <c r="AC31" s="54">
        <f t="shared" si="1"/>
        <v>0</v>
      </c>
      <c r="AD31" s="54">
        <f t="shared" si="2"/>
        <v>0</v>
      </c>
      <c r="AE31" s="54">
        <f t="shared" si="3"/>
        <v>0</v>
      </c>
      <c r="AF31" s="54">
        <f>IF(ISBLANK($I31),0,IF($J31&gt;VLOOKUP($I31,Meal_limits,IF($C$31&gt;Old_meal_rates_end_date,4,2),0),1,0))</f>
        <v>0</v>
      </c>
      <c r="AG31" s="54">
        <f>IF(ISBLANK($I31),0,IF($J31&gt;VLOOKUP($I31,Meal_limits,IF($C$31&gt;Old_meal_rates_end_date,5,3),0),1,0))</f>
        <v>0</v>
      </c>
      <c r="AH31" s="54">
        <f t="shared" si="4"/>
        <v>0</v>
      </c>
      <c r="AI31" s="54">
        <v>1</v>
      </c>
    </row>
    <row r="32" spans="1:35" ht="12" customHeight="1" x14ac:dyDescent="0.2">
      <c r="A32" s="167">
        <f t="shared" ref="A32" si="9">A31</f>
        <v>0</v>
      </c>
      <c r="B32" s="151"/>
      <c r="C32" s="198"/>
      <c r="D32" s="187"/>
      <c r="E32" s="184"/>
      <c r="F32" s="187"/>
      <c r="G32" s="187"/>
      <c r="H32" s="52"/>
      <c r="I32" s="15"/>
      <c r="J32" s="115"/>
      <c r="K32" s="190"/>
      <c r="L32" s="116"/>
      <c r="M32" s="117"/>
      <c r="N32" s="205"/>
      <c r="O32" s="135"/>
      <c r="P32" s="43" t="s">
        <v>91</v>
      </c>
      <c r="Q32" s="76">
        <v>35</v>
      </c>
      <c r="R32" s="76">
        <v>20</v>
      </c>
      <c r="S32" s="76">
        <v>35</v>
      </c>
      <c r="T32" s="77">
        <v>20</v>
      </c>
      <c r="U32" s="50"/>
      <c r="V32" s="50"/>
      <c r="W32" s="19"/>
      <c r="Y32" s="53">
        <f>IF(OR(C$31&lt;&gt;0,E32&lt;&gt;0,J32&lt;&gt;0,K32&lt;&gt;0,M32&lt;&gt;0),1,0)</f>
        <v>0</v>
      </c>
      <c r="Z32" s="96">
        <v>0</v>
      </c>
      <c r="AA32" s="54">
        <f t="shared" si="0"/>
        <v>0</v>
      </c>
      <c r="AB32" s="96">
        <v>0</v>
      </c>
      <c r="AC32" s="54">
        <f t="shared" si="1"/>
        <v>0</v>
      </c>
      <c r="AD32" s="54">
        <f t="shared" si="2"/>
        <v>0</v>
      </c>
      <c r="AE32" s="54">
        <f t="shared" si="3"/>
        <v>0</v>
      </c>
      <c r="AF32" s="54">
        <f>IF(ISBLANK($I32),0,IF($J32&gt;VLOOKUP($I32,Meal_limits,IF($C$31&gt;Old_meal_rates_end_date,4,2),0),1,0))</f>
        <v>0</v>
      </c>
      <c r="AG32" s="54">
        <f>IF(ISBLANK($I32),0,IF($J32&gt;VLOOKUP($I32,Meal_limits,IF($C$31&gt;Old_meal_rates_end_date,5,3),0),1,0))</f>
        <v>0</v>
      </c>
      <c r="AH32" s="54">
        <f t="shared" si="4"/>
        <v>0</v>
      </c>
      <c r="AI32" s="54">
        <v>1</v>
      </c>
    </row>
    <row r="33" spans="1:35" ht="12" customHeight="1" thickBot="1" x14ac:dyDescent="0.25">
      <c r="A33" s="168">
        <f t="shared" ref="A33" si="10">A31</f>
        <v>0</v>
      </c>
      <c r="B33" s="151"/>
      <c r="C33" s="199"/>
      <c r="D33" s="188"/>
      <c r="E33" s="185"/>
      <c r="F33" s="188"/>
      <c r="G33" s="188"/>
      <c r="H33" s="52"/>
      <c r="I33" s="144"/>
      <c r="J33" s="118"/>
      <c r="K33" s="191"/>
      <c r="L33" s="119"/>
      <c r="M33" s="120"/>
      <c r="N33" s="205"/>
      <c r="O33" s="135"/>
      <c r="P33" s="84"/>
      <c r="Q33" s="85"/>
      <c r="R33" s="85"/>
      <c r="S33" s="85"/>
      <c r="T33" s="86"/>
      <c r="U33" s="50"/>
      <c r="V33" s="50"/>
      <c r="W33" s="19"/>
      <c r="Y33" s="53">
        <f>IF(OR(C$31&lt;&gt;0,E33&lt;&gt;0,J33&lt;&gt;0,K33&lt;&gt;0,M33&lt;&gt;0),1,0)</f>
        <v>0</v>
      </c>
      <c r="Z33" s="96">
        <v>0</v>
      </c>
      <c r="AA33" s="54">
        <f t="shared" si="0"/>
        <v>0</v>
      </c>
      <c r="AB33" s="96">
        <v>0</v>
      </c>
      <c r="AC33" s="54">
        <f t="shared" si="1"/>
        <v>0</v>
      </c>
      <c r="AD33" s="54">
        <f t="shared" si="2"/>
        <v>0</v>
      </c>
      <c r="AE33" s="54">
        <f t="shared" si="3"/>
        <v>0</v>
      </c>
      <c r="AF33" s="54">
        <f>IF(ISBLANK($I33),0,IF($J33&gt;VLOOKUP($I33,Meal_limits,IF($C$31&gt;Old_meal_rates_end_date,4,2),0),1,0))</f>
        <v>0</v>
      </c>
      <c r="AG33" s="54">
        <f>IF(ISBLANK($I33),0,IF($J33&gt;VLOOKUP($I33,Meal_limits,IF($C$31&gt;Old_meal_rates_end_date,5,3),0),1,0))</f>
        <v>0</v>
      </c>
      <c r="AH33" s="54">
        <f t="shared" si="4"/>
        <v>0</v>
      </c>
      <c r="AI33" s="54">
        <v>1</v>
      </c>
    </row>
    <row r="34" spans="1:35" ht="12" customHeight="1" thickTop="1" x14ac:dyDescent="0.2">
      <c r="A34" s="166">
        <f t="shared" si="8"/>
        <v>0</v>
      </c>
      <c r="B34" s="151">
        <v>9</v>
      </c>
      <c r="C34" s="197"/>
      <c r="D34" s="200"/>
      <c r="E34" s="183"/>
      <c r="F34" s="186"/>
      <c r="G34" s="186"/>
      <c r="H34" s="52"/>
      <c r="I34" s="17"/>
      <c r="J34" s="16"/>
      <c r="K34" s="189"/>
      <c r="L34" s="121"/>
      <c r="M34" s="114"/>
      <c r="N34" s="205"/>
      <c r="O34" s="135"/>
      <c r="P34" s="19"/>
      <c r="Q34" s="50"/>
      <c r="R34" s="50"/>
      <c r="S34" s="50"/>
      <c r="T34" s="50"/>
      <c r="U34" s="50"/>
      <c r="V34" s="50"/>
      <c r="W34" s="19"/>
      <c r="Y34" s="53">
        <f>IF(OR(C$34&lt;&gt;0,E34&lt;&gt;0,J34&lt;&gt;0,K34&lt;&gt;0,M34&lt;&gt;0),1,0)</f>
        <v>0</v>
      </c>
      <c r="Z34" s="54">
        <f>IF(AND($Y34&gt;0,C34=0),1,0)</f>
        <v>0</v>
      </c>
      <c r="AA34" s="54">
        <f t="shared" si="0"/>
        <v>0</v>
      </c>
      <c r="AB34" s="54">
        <f>IF(AND(Y34&gt;0,NOT(ISTEXT(D34))),1,0)</f>
        <v>0</v>
      </c>
      <c r="AC34" s="54">
        <f t="shared" si="1"/>
        <v>0</v>
      </c>
      <c r="AD34" s="54">
        <f t="shared" si="2"/>
        <v>0</v>
      </c>
      <c r="AE34" s="54">
        <f t="shared" si="3"/>
        <v>0</v>
      </c>
      <c r="AF34" s="54">
        <f>IF(ISBLANK($I34),0,IF($J34&gt;VLOOKUP($I34,Meal_limits,IF($C$34&gt;Old_meal_rates_end_date,4,2),0),1,0))</f>
        <v>0</v>
      </c>
      <c r="AG34" s="54">
        <f>IF(ISBLANK($I34),0,IF($J34&gt;VLOOKUP($I34,Meal_limits,IF($C$34&gt;Old_meal_rates_end_date,5,3),0),1,0))</f>
        <v>0</v>
      </c>
      <c r="AH34" s="54">
        <f t="shared" si="4"/>
        <v>0</v>
      </c>
      <c r="AI34" s="54">
        <v>1</v>
      </c>
    </row>
    <row r="35" spans="1:35" ht="12" customHeight="1" x14ac:dyDescent="0.2">
      <c r="A35" s="167">
        <f t="shared" ref="A35" si="11">A34</f>
        <v>0</v>
      </c>
      <c r="B35" s="151"/>
      <c r="C35" s="198"/>
      <c r="D35" s="187"/>
      <c r="E35" s="184"/>
      <c r="F35" s="187"/>
      <c r="G35" s="187"/>
      <c r="H35" s="52"/>
      <c r="I35" s="15"/>
      <c r="J35" s="115"/>
      <c r="K35" s="190"/>
      <c r="L35" s="116"/>
      <c r="M35" s="117"/>
      <c r="N35" s="205"/>
      <c r="O35" s="135"/>
      <c r="P35" s="19"/>
      <c r="Q35" s="50"/>
      <c r="R35" s="50"/>
      <c r="S35" s="50"/>
      <c r="T35" s="50"/>
      <c r="U35" s="50"/>
      <c r="V35" s="50"/>
      <c r="W35" s="19"/>
      <c r="Y35" s="53">
        <f>IF(OR(C$34&lt;&gt;0,E35&lt;&gt;0,J35&lt;&gt;0,K35&lt;&gt;0,M35&lt;&gt;0),1,0)</f>
        <v>0</v>
      </c>
      <c r="Z35" s="96">
        <v>0</v>
      </c>
      <c r="AA35" s="54">
        <f t="shared" si="0"/>
        <v>0</v>
      </c>
      <c r="AB35" s="96">
        <v>0</v>
      </c>
      <c r="AC35" s="54">
        <f t="shared" si="1"/>
        <v>0</v>
      </c>
      <c r="AD35" s="54">
        <f t="shared" si="2"/>
        <v>0</v>
      </c>
      <c r="AE35" s="54">
        <f t="shared" si="3"/>
        <v>0</v>
      </c>
      <c r="AF35" s="54">
        <f>IF(ISBLANK($I35),0,IF($J35&gt;VLOOKUP($I35,Meal_limits,IF($C$34&gt;Old_meal_rates_end_date,4,2),0),1,0))</f>
        <v>0</v>
      </c>
      <c r="AG35" s="54">
        <f>IF(ISBLANK($I35),0,IF($J35&gt;VLOOKUP($I35,Meal_limits,IF($C$34&gt;Old_meal_rates_end_date,5,3),0),1,0))</f>
        <v>0</v>
      </c>
      <c r="AH35" s="54">
        <f t="shared" si="4"/>
        <v>0</v>
      </c>
      <c r="AI35" s="54">
        <v>1</v>
      </c>
    </row>
    <row r="36" spans="1:35" ht="12" customHeight="1" x14ac:dyDescent="0.2">
      <c r="A36" s="168">
        <f t="shared" ref="A36" si="12">A34</f>
        <v>0</v>
      </c>
      <c r="B36" s="151"/>
      <c r="C36" s="199"/>
      <c r="D36" s="188"/>
      <c r="E36" s="185"/>
      <c r="F36" s="188"/>
      <c r="G36" s="188"/>
      <c r="H36" s="52"/>
      <c r="I36" s="144"/>
      <c r="J36" s="118"/>
      <c r="K36" s="191"/>
      <c r="L36" s="119"/>
      <c r="M36" s="120"/>
      <c r="N36" s="205"/>
      <c r="O36" s="135"/>
      <c r="P36" s="19"/>
      <c r="Q36" s="50"/>
      <c r="R36" s="50"/>
      <c r="S36" s="50"/>
      <c r="T36" s="50"/>
      <c r="U36" s="50"/>
      <c r="V36" s="50"/>
      <c r="W36" s="19"/>
      <c r="Y36" s="53">
        <f>IF(OR(C$34&lt;&gt;0,E36&lt;&gt;0,J36&lt;&gt;0,K36&lt;&gt;0,M36&lt;&gt;0),1,0)</f>
        <v>0</v>
      </c>
      <c r="Z36" s="96">
        <v>0</v>
      </c>
      <c r="AA36" s="54">
        <f t="shared" si="0"/>
        <v>0</v>
      </c>
      <c r="AB36" s="96">
        <v>0</v>
      </c>
      <c r="AC36" s="54">
        <f t="shared" si="1"/>
        <v>0</v>
      </c>
      <c r="AD36" s="54">
        <f t="shared" si="2"/>
        <v>0</v>
      </c>
      <c r="AE36" s="54">
        <f t="shared" si="3"/>
        <v>0</v>
      </c>
      <c r="AF36" s="54">
        <f>IF(ISBLANK($I36),0,IF($J36&gt;VLOOKUP($I36,Meal_limits,IF($C$34&gt;Old_meal_rates_end_date,4,2),0),1,0))</f>
        <v>0</v>
      </c>
      <c r="AG36" s="54">
        <f>IF(ISBLANK($I36),0,IF($J36&gt;VLOOKUP($I36,Meal_limits,IF($C$34&gt;Old_meal_rates_end_date,5,3),0),1,0))</f>
        <v>0</v>
      </c>
      <c r="AH36" s="54">
        <f t="shared" si="4"/>
        <v>0</v>
      </c>
      <c r="AI36" s="54">
        <v>1</v>
      </c>
    </row>
    <row r="37" spans="1:35" ht="12" customHeight="1" x14ac:dyDescent="0.2">
      <c r="A37" s="166">
        <f t="shared" si="8"/>
        <v>0</v>
      </c>
      <c r="B37" s="151">
        <v>10</v>
      </c>
      <c r="C37" s="197"/>
      <c r="D37" s="200"/>
      <c r="E37" s="183"/>
      <c r="F37" s="186"/>
      <c r="G37" s="186"/>
      <c r="H37" s="52"/>
      <c r="I37" s="17"/>
      <c r="J37" s="16"/>
      <c r="K37" s="189"/>
      <c r="L37" s="121"/>
      <c r="M37" s="114"/>
      <c r="N37" s="205"/>
      <c r="O37" s="135"/>
      <c r="P37" s="19"/>
      <c r="Q37" s="50"/>
      <c r="R37" s="50"/>
      <c r="S37" s="50"/>
      <c r="T37" s="50"/>
      <c r="U37" s="50"/>
      <c r="V37" s="50"/>
      <c r="W37" s="19"/>
      <c r="Y37" s="53">
        <f>IF(OR(C$37&lt;&gt;0,E37&lt;&gt;0,J37&lt;&gt;0,K37&lt;&gt;0,M37&lt;&gt;0),1,0)</f>
        <v>0</v>
      </c>
      <c r="Z37" s="54">
        <f>IF(AND($Y37&gt;0,C37=0),1,0)</f>
        <v>0</v>
      </c>
      <c r="AA37" s="54">
        <f t="shared" si="0"/>
        <v>0</v>
      </c>
      <c r="AB37" s="54">
        <f>IF(AND(Y37&gt;0,NOT(ISTEXT(D37))),1,0)</f>
        <v>0</v>
      </c>
      <c r="AC37" s="54">
        <f t="shared" si="1"/>
        <v>0</v>
      </c>
      <c r="AD37" s="54">
        <f t="shared" si="2"/>
        <v>0</v>
      </c>
      <c r="AE37" s="54">
        <f t="shared" si="3"/>
        <v>0</v>
      </c>
      <c r="AF37" s="54">
        <f>IF(ISBLANK($I37),0,IF($J37&gt;VLOOKUP($I37,Meal_limits,IF($C$37&gt;Old_meal_rates_end_date,4,2),0),1,0))</f>
        <v>0</v>
      </c>
      <c r="AG37" s="54">
        <f>IF(ISBLANK($I37),0,IF($J37&gt;VLOOKUP($I37,Meal_limits,IF($C$37&gt;Old_meal_rates_end_date,5,3),0),1,0))</f>
        <v>0</v>
      </c>
      <c r="AH37" s="54">
        <f t="shared" si="4"/>
        <v>0</v>
      </c>
      <c r="AI37" s="54">
        <v>1</v>
      </c>
    </row>
    <row r="38" spans="1:35" ht="12" customHeight="1" x14ac:dyDescent="0.2">
      <c r="A38" s="167">
        <f t="shared" ref="A38" si="13">A37</f>
        <v>0</v>
      </c>
      <c r="B38" s="151"/>
      <c r="C38" s="198"/>
      <c r="D38" s="187"/>
      <c r="E38" s="184"/>
      <c r="F38" s="187"/>
      <c r="G38" s="187"/>
      <c r="H38" s="52"/>
      <c r="I38" s="15"/>
      <c r="J38" s="115"/>
      <c r="K38" s="190"/>
      <c r="L38" s="116"/>
      <c r="M38" s="117"/>
      <c r="N38" s="205"/>
      <c r="O38" s="135"/>
      <c r="P38" s="19"/>
      <c r="Q38" s="50"/>
      <c r="R38" s="50"/>
      <c r="S38" s="50"/>
      <c r="T38" s="50"/>
      <c r="U38" s="50"/>
      <c r="V38" s="50"/>
      <c r="W38" s="19"/>
      <c r="Y38" s="53">
        <f>IF(OR(C$37&lt;&gt;0,E38&lt;&gt;0,J38&lt;&gt;0,K38&lt;&gt;0,M38&lt;&gt;0),1,0)</f>
        <v>0</v>
      </c>
      <c r="Z38" s="96">
        <v>0</v>
      </c>
      <c r="AA38" s="54">
        <f t="shared" si="0"/>
        <v>0</v>
      </c>
      <c r="AB38" s="96">
        <v>0</v>
      </c>
      <c r="AC38" s="54">
        <f t="shared" si="1"/>
        <v>0</v>
      </c>
      <c r="AD38" s="54">
        <f t="shared" si="2"/>
        <v>0</v>
      </c>
      <c r="AE38" s="54">
        <f t="shared" si="3"/>
        <v>0</v>
      </c>
      <c r="AF38" s="54">
        <f>IF(ISBLANK($I38),0,IF($J38&gt;VLOOKUP($I38,Meal_limits,IF($C$37&gt;Old_meal_rates_end_date,4,2),0),1,0))</f>
        <v>0</v>
      </c>
      <c r="AG38" s="54">
        <f>IF(ISBLANK($I38),0,IF($J38&gt;VLOOKUP($I38,Meal_limits,IF($C$37&gt;Old_meal_rates_end_date,5,3),0),1,0))</f>
        <v>0</v>
      </c>
      <c r="AH38" s="54">
        <f t="shared" si="4"/>
        <v>0</v>
      </c>
      <c r="AI38" s="54">
        <v>1</v>
      </c>
    </row>
    <row r="39" spans="1:35" ht="12" customHeight="1" x14ac:dyDescent="0.2">
      <c r="A39" s="168">
        <f t="shared" ref="A39" si="14">A37</f>
        <v>0</v>
      </c>
      <c r="B39" s="151"/>
      <c r="C39" s="199"/>
      <c r="D39" s="188"/>
      <c r="E39" s="185"/>
      <c r="F39" s="188"/>
      <c r="G39" s="188"/>
      <c r="H39" s="52"/>
      <c r="I39" s="144"/>
      <c r="J39" s="118"/>
      <c r="K39" s="191"/>
      <c r="L39" s="119"/>
      <c r="M39" s="120"/>
      <c r="N39" s="205"/>
      <c r="O39" s="135"/>
      <c r="P39" s="19"/>
      <c r="Q39" s="50"/>
      <c r="R39" s="50"/>
      <c r="S39" s="50"/>
      <c r="T39" s="50"/>
      <c r="U39" s="50"/>
      <c r="V39" s="50"/>
      <c r="W39" s="19"/>
      <c r="Y39" s="53">
        <f>IF(OR(C$37&lt;&gt;0,E39&lt;&gt;0,J39&lt;&gt;0,K39&lt;&gt;0,M39&lt;&gt;0),1,0)</f>
        <v>0</v>
      </c>
      <c r="Z39" s="96">
        <v>0</v>
      </c>
      <c r="AA39" s="54">
        <f t="shared" si="0"/>
        <v>0</v>
      </c>
      <c r="AB39" s="96">
        <v>0</v>
      </c>
      <c r="AC39" s="54">
        <f t="shared" si="1"/>
        <v>0</v>
      </c>
      <c r="AD39" s="54">
        <f t="shared" si="2"/>
        <v>0</v>
      </c>
      <c r="AE39" s="54">
        <f t="shared" si="3"/>
        <v>0</v>
      </c>
      <c r="AF39" s="54">
        <f>IF(ISBLANK($I39),0,IF($J39&gt;VLOOKUP($I39,Meal_limits,IF($C$37&gt;Old_meal_rates_end_date,4,2),0),1,0))</f>
        <v>0</v>
      </c>
      <c r="AG39" s="54">
        <f>IF(ISBLANK($I39),0,IF($J39&gt;VLOOKUP($I39,Meal_limits,IF($C$37&gt;Old_meal_rates_end_date,5,3),0),1,0))</f>
        <v>0</v>
      </c>
      <c r="AH39" s="54">
        <f t="shared" si="4"/>
        <v>0</v>
      </c>
      <c r="AI39" s="54">
        <v>1</v>
      </c>
    </row>
    <row r="40" spans="1:35" ht="12" customHeight="1" x14ac:dyDescent="0.2">
      <c r="A40" s="166">
        <f t="shared" si="8"/>
        <v>0</v>
      </c>
      <c r="B40" s="151">
        <v>11</v>
      </c>
      <c r="C40" s="197"/>
      <c r="D40" s="200"/>
      <c r="E40" s="183"/>
      <c r="F40" s="186"/>
      <c r="G40" s="186"/>
      <c r="H40" s="52"/>
      <c r="I40" s="17"/>
      <c r="J40" s="16"/>
      <c r="K40" s="189"/>
      <c r="L40" s="121"/>
      <c r="M40" s="114"/>
      <c r="N40" s="205"/>
      <c r="O40" s="135"/>
      <c r="P40" s="19"/>
      <c r="Q40" s="50"/>
      <c r="R40" s="50"/>
      <c r="S40" s="50"/>
      <c r="T40" s="50"/>
      <c r="U40" s="50"/>
      <c r="V40" s="50"/>
      <c r="W40" s="19"/>
      <c r="Y40" s="53">
        <f>IF(OR(C$40&lt;&gt;0,E40&lt;&gt;0,J40&lt;&gt;0,K40&lt;&gt;0,M40&lt;&gt;0),1,0)</f>
        <v>0</v>
      </c>
      <c r="Z40" s="54">
        <f>IF(AND($Y40&gt;0,C40=0),1,0)</f>
        <v>0</v>
      </c>
      <c r="AA40" s="54">
        <f t="shared" si="0"/>
        <v>0</v>
      </c>
      <c r="AB40" s="54">
        <f>IF(AND(Y40&gt;0,NOT(ISTEXT(D40))),1,0)</f>
        <v>0</v>
      </c>
      <c r="AC40" s="54">
        <f t="shared" si="1"/>
        <v>0</v>
      </c>
      <c r="AD40" s="54">
        <f t="shared" si="2"/>
        <v>0</v>
      </c>
      <c r="AE40" s="54">
        <f t="shared" si="3"/>
        <v>0</v>
      </c>
      <c r="AF40" s="54">
        <f>IF(ISBLANK($I40),0,IF($J40&gt;VLOOKUP($I40,Meal_limits,IF($C$40&gt;Old_meal_rates_end_date,4,2),0),1,0))</f>
        <v>0</v>
      </c>
      <c r="AG40" s="54">
        <f>IF(ISBLANK($I40),0,IF($J40&gt;VLOOKUP($I40,Meal_limits,IF($C$40&gt;Old_meal_rates_end_date,5,3),0),1,0))</f>
        <v>0</v>
      </c>
      <c r="AH40" s="54">
        <f t="shared" si="4"/>
        <v>0</v>
      </c>
      <c r="AI40" s="54">
        <v>1</v>
      </c>
    </row>
    <row r="41" spans="1:35" ht="12" customHeight="1" x14ac:dyDescent="0.2">
      <c r="A41" s="167">
        <f t="shared" ref="A41" si="15">A40</f>
        <v>0</v>
      </c>
      <c r="B41" s="151"/>
      <c r="C41" s="198"/>
      <c r="D41" s="187"/>
      <c r="E41" s="184"/>
      <c r="F41" s="187"/>
      <c r="G41" s="187"/>
      <c r="H41" s="52"/>
      <c r="I41" s="15"/>
      <c r="J41" s="115"/>
      <c r="K41" s="190"/>
      <c r="L41" s="116"/>
      <c r="M41" s="117"/>
      <c r="N41" s="205"/>
      <c r="O41" s="135"/>
      <c r="P41" s="19"/>
      <c r="Q41" s="50"/>
      <c r="R41" s="50"/>
      <c r="S41" s="50"/>
      <c r="T41" s="50"/>
      <c r="U41" s="50"/>
      <c r="V41" s="50"/>
      <c r="W41" s="19"/>
      <c r="Y41" s="53">
        <f>IF(OR(C$40&lt;&gt;0,E41&lt;&gt;0,J41&lt;&gt;0,K41&lt;&gt;0,M41&lt;&gt;0),1,0)</f>
        <v>0</v>
      </c>
      <c r="Z41" s="96">
        <v>0</v>
      </c>
      <c r="AA41" s="54">
        <f t="shared" si="0"/>
        <v>0</v>
      </c>
      <c r="AB41" s="96">
        <v>0</v>
      </c>
      <c r="AC41" s="54">
        <f t="shared" si="1"/>
        <v>0</v>
      </c>
      <c r="AD41" s="54">
        <f t="shared" si="2"/>
        <v>0</v>
      </c>
      <c r="AE41" s="54">
        <f t="shared" si="3"/>
        <v>0</v>
      </c>
      <c r="AF41" s="54">
        <f>IF(ISBLANK($I41),0,IF($J41&gt;VLOOKUP($I41,Meal_limits,IF($C$40&gt;Old_meal_rates_end_date,4,2),0),1,0))</f>
        <v>0</v>
      </c>
      <c r="AG41" s="54">
        <f>IF(ISBLANK($I41),0,IF($J41&gt;VLOOKUP($I41,Meal_limits,IF($C$40&gt;Old_meal_rates_end_date,5,3),0),1,0))</f>
        <v>0</v>
      </c>
      <c r="AH41" s="54">
        <f t="shared" si="4"/>
        <v>0</v>
      </c>
      <c r="AI41" s="54">
        <v>1</v>
      </c>
    </row>
    <row r="42" spans="1:35" ht="12" customHeight="1" x14ac:dyDescent="0.2">
      <c r="A42" s="168">
        <f t="shared" ref="A42" si="16">A40</f>
        <v>0</v>
      </c>
      <c r="B42" s="151"/>
      <c r="C42" s="199"/>
      <c r="D42" s="188"/>
      <c r="E42" s="185"/>
      <c r="F42" s="188"/>
      <c r="G42" s="188"/>
      <c r="H42" s="52"/>
      <c r="I42" s="144"/>
      <c r="J42" s="118"/>
      <c r="K42" s="191"/>
      <c r="L42" s="119"/>
      <c r="M42" s="120"/>
      <c r="N42" s="205"/>
      <c r="O42" s="135"/>
      <c r="P42" s="19"/>
      <c r="Q42" s="50"/>
      <c r="R42" s="50"/>
      <c r="S42" s="50"/>
      <c r="T42" s="50"/>
      <c r="U42" s="50"/>
      <c r="V42" s="50"/>
      <c r="W42" s="19"/>
      <c r="Y42" s="53">
        <f>IF(OR(C$40&lt;&gt;0,E42&lt;&gt;0,J42&lt;&gt;0,K42&lt;&gt;0,M42&lt;&gt;0),1,0)</f>
        <v>0</v>
      </c>
      <c r="Z42" s="96">
        <v>0</v>
      </c>
      <c r="AA42" s="54">
        <f t="shared" ref="AA42:AA73" si="17">IF(C42&gt;0,IF(OR(C42&lt;Form_date_earliest,C42&gt;Form_date_latest),1,0),0)</f>
        <v>0</v>
      </c>
      <c r="AB42" s="96">
        <v>0</v>
      </c>
      <c r="AC42" s="54">
        <f t="shared" ref="AC42:AC73" si="18">IF(AND(J42&gt;0,NOT(ISTEXT(I42))),1,0)</f>
        <v>0</v>
      </c>
      <c r="AD42" s="54">
        <f t="shared" ref="AD42:AD73" si="19">IF(AND(M42&lt;&gt;0,NOT(ISTEXT(L42))),1,0)</f>
        <v>0</v>
      </c>
      <c r="AE42" s="54">
        <f t="shared" ref="AE42:AE73" si="20">IF(AND(E42&gt;0,OR(ISBLANK(F42),ISBLANK(G42))),1,0)</f>
        <v>0</v>
      </c>
      <c r="AF42" s="54">
        <f>IF(ISBLANK($I42),0,IF($J42&gt;VLOOKUP($I42,Meal_limits,IF($C$40&gt;Old_meal_rates_end_date,4,2),0),1,0))</f>
        <v>0</v>
      </c>
      <c r="AG42" s="54">
        <f>IF(ISBLANK($I42),0,IF($J42&gt;VLOOKUP($I42,Meal_limits,IF($C$40&gt;Old_meal_rates_end_date,5,3),0),1,0))</f>
        <v>0</v>
      </c>
      <c r="AH42" s="54">
        <f t="shared" ref="AH42:AH73" si="21">IF(AND(I42="Other",J42&lt;&gt;0),1,0)</f>
        <v>0</v>
      </c>
      <c r="AI42" s="54">
        <v>1</v>
      </c>
    </row>
    <row r="43" spans="1:35" ht="12" customHeight="1" x14ac:dyDescent="0.2">
      <c r="A43" s="166">
        <f t="shared" si="8"/>
        <v>0</v>
      </c>
      <c r="B43" s="151">
        <v>12</v>
      </c>
      <c r="C43" s="197"/>
      <c r="D43" s="200"/>
      <c r="E43" s="183"/>
      <c r="F43" s="186"/>
      <c r="G43" s="186"/>
      <c r="H43" s="52"/>
      <c r="I43" s="17"/>
      <c r="J43" s="16"/>
      <c r="K43" s="189"/>
      <c r="L43" s="121"/>
      <c r="M43" s="114"/>
      <c r="N43" s="205"/>
      <c r="O43" s="135"/>
      <c r="P43" s="19"/>
      <c r="Q43" s="50"/>
      <c r="R43" s="50"/>
      <c r="S43" s="50"/>
      <c r="T43" s="50"/>
      <c r="U43" s="50"/>
      <c r="V43" s="50"/>
      <c r="W43" s="19"/>
      <c r="Y43" s="53">
        <f>IF(OR(C$43&lt;&gt;0,E43&lt;&gt;0,J43&lt;&gt;0,K43&lt;&gt;0,M43&lt;&gt;0),1,0)</f>
        <v>0</v>
      </c>
      <c r="Z43" s="54">
        <f>IF(AND($Y43&gt;0,C43=0),1,0)</f>
        <v>0</v>
      </c>
      <c r="AA43" s="54">
        <f t="shared" si="17"/>
        <v>0</v>
      </c>
      <c r="AB43" s="54">
        <f>IF(AND(Y43&gt;0,NOT(ISTEXT(D43))),1,0)</f>
        <v>0</v>
      </c>
      <c r="AC43" s="54">
        <f t="shared" si="18"/>
        <v>0</v>
      </c>
      <c r="AD43" s="54">
        <f t="shared" si="19"/>
        <v>0</v>
      </c>
      <c r="AE43" s="54">
        <f t="shared" si="20"/>
        <v>0</v>
      </c>
      <c r="AF43" s="54">
        <f>IF(ISBLANK($I43),0,IF($J43&gt;VLOOKUP($I43,Meal_limits,IF($C$43&gt;Old_meal_rates_end_date,4,2),0),1,0))</f>
        <v>0</v>
      </c>
      <c r="AG43" s="54">
        <f>IF(ISBLANK($I43),0,IF($J43&gt;VLOOKUP($I43,Meal_limits,IF($C$43&gt;Old_meal_rates_end_date,5,3),0),1,0))</f>
        <v>0</v>
      </c>
      <c r="AH43" s="54">
        <f t="shared" si="21"/>
        <v>0</v>
      </c>
      <c r="AI43" s="54">
        <v>1</v>
      </c>
    </row>
    <row r="44" spans="1:35" ht="12" customHeight="1" x14ac:dyDescent="0.2">
      <c r="A44" s="167">
        <f t="shared" ref="A44" si="22">A43</f>
        <v>0</v>
      </c>
      <c r="B44" s="151"/>
      <c r="C44" s="198"/>
      <c r="D44" s="187"/>
      <c r="E44" s="184"/>
      <c r="F44" s="187"/>
      <c r="G44" s="187"/>
      <c r="H44" s="52"/>
      <c r="I44" s="15"/>
      <c r="J44" s="115"/>
      <c r="K44" s="190"/>
      <c r="L44" s="116"/>
      <c r="M44" s="117"/>
      <c r="N44" s="205"/>
      <c r="O44" s="135"/>
      <c r="P44" s="19"/>
      <c r="Q44" s="50"/>
      <c r="R44" s="50"/>
      <c r="S44" s="50"/>
      <c r="T44" s="50"/>
      <c r="U44" s="50"/>
      <c r="V44" s="50"/>
      <c r="W44" s="19"/>
      <c r="Y44" s="53">
        <f>IF(OR(C$43&lt;&gt;0,E44&lt;&gt;0,J44&lt;&gt;0,K44&lt;&gt;0,M44&lt;&gt;0),1,0)</f>
        <v>0</v>
      </c>
      <c r="Z44" s="96">
        <v>0</v>
      </c>
      <c r="AA44" s="54">
        <f t="shared" si="17"/>
        <v>0</v>
      </c>
      <c r="AB44" s="96">
        <v>0</v>
      </c>
      <c r="AC44" s="54">
        <f t="shared" si="18"/>
        <v>0</v>
      </c>
      <c r="AD44" s="54">
        <f t="shared" si="19"/>
        <v>0</v>
      </c>
      <c r="AE44" s="54">
        <f t="shared" si="20"/>
        <v>0</v>
      </c>
      <c r="AF44" s="54">
        <f>IF(ISBLANK($I44),0,IF($J44&gt;VLOOKUP($I44,Meal_limits,IF($C$43&gt;Old_meal_rates_end_date,4,2),0),1,0))</f>
        <v>0</v>
      </c>
      <c r="AG44" s="54">
        <f>IF(ISBLANK($I44),0,IF($J44&gt;VLOOKUP($I44,Meal_limits,IF($C$43&gt;Old_meal_rates_end_date,5,3),0),1,0))</f>
        <v>0</v>
      </c>
      <c r="AH44" s="54">
        <f t="shared" si="21"/>
        <v>0</v>
      </c>
      <c r="AI44" s="54">
        <v>1</v>
      </c>
    </row>
    <row r="45" spans="1:35" ht="12" customHeight="1" x14ac:dyDescent="0.2">
      <c r="A45" s="168">
        <f t="shared" ref="A45" si="23">A43</f>
        <v>0</v>
      </c>
      <c r="B45" s="151"/>
      <c r="C45" s="199"/>
      <c r="D45" s="188"/>
      <c r="E45" s="185"/>
      <c r="F45" s="188"/>
      <c r="G45" s="188"/>
      <c r="H45" s="52"/>
      <c r="I45" s="144"/>
      <c r="J45" s="118"/>
      <c r="K45" s="191"/>
      <c r="L45" s="119"/>
      <c r="M45" s="120"/>
      <c r="N45" s="205"/>
      <c r="O45" s="135"/>
      <c r="P45" s="19"/>
      <c r="Q45" s="50"/>
      <c r="R45" s="50"/>
      <c r="S45" s="50"/>
      <c r="T45" s="50"/>
      <c r="U45" s="50"/>
      <c r="V45" s="50"/>
      <c r="W45" s="19"/>
      <c r="Y45" s="53">
        <f>IF(OR(C$43&lt;&gt;0,E45&lt;&gt;0,J45&lt;&gt;0,K45&lt;&gt;0,M45&lt;&gt;0),1,0)</f>
        <v>0</v>
      </c>
      <c r="Z45" s="96">
        <v>0</v>
      </c>
      <c r="AA45" s="54">
        <f t="shared" si="17"/>
        <v>0</v>
      </c>
      <c r="AB45" s="96">
        <v>0</v>
      </c>
      <c r="AC45" s="54">
        <f t="shared" si="18"/>
        <v>0</v>
      </c>
      <c r="AD45" s="54">
        <f t="shared" si="19"/>
        <v>0</v>
      </c>
      <c r="AE45" s="54">
        <f t="shared" si="20"/>
        <v>0</v>
      </c>
      <c r="AF45" s="54">
        <f>IF(ISBLANK($I45),0,IF($J45&gt;VLOOKUP($I45,Meal_limits,IF($C$43&gt;Old_meal_rates_end_date,4,2),0),1,0))</f>
        <v>0</v>
      </c>
      <c r="AG45" s="54">
        <f>IF(ISBLANK($I45),0,IF($J45&gt;VLOOKUP($I45,Meal_limits,IF($C$43&gt;Old_meal_rates_end_date,5,3),0),1,0))</f>
        <v>0</v>
      </c>
      <c r="AH45" s="54">
        <f t="shared" si="21"/>
        <v>0</v>
      </c>
      <c r="AI45" s="54">
        <v>1</v>
      </c>
    </row>
    <row r="46" spans="1:35" ht="12" customHeight="1" x14ac:dyDescent="0.2">
      <c r="A46" s="166">
        <f t="shared" si="8"/>
        <v>0</v>
      </c>
      <c r="B46" s="151">
        <v>13</v>
      </c>
      <c r="C46" s="197"/>
      <c r="D46" s="200"/>
      <c r="E46" s="183"/>
      <c r="F46" s="186"/>
      <c r="G46" s="186"/>
      <c r="H46" s="52"/>
      <c r="I46" s="17"/>
      <c r="J46" s="16"/>
      <c r="K46" s="189"/>
      <c r="L46" s="121"/>
      <c r="M46" s="114"/>
      <c r="N46" s="205"/>
      <c r="O46" s="135"/>
      <c r="P46" s="19"/>
      <c r="Q46" s="50"/>
      <c r="R46" s="50"/>
      <c r="S46" s="50"/>
      <c r="T46" s="50"/>
      <c r="U46" s="50"/>
      <c r="V46" s="50"/>
      <c r="W46" s="19"/>
      <c r="Y46" s="53">
        <f>IF(OR(C$46&lt;&gt;0,E46&lt;&gt;0,J46&lt;&gt;0,K46&lt;&gt;0,M46&lt;&gt;0),1,0)</f>
        <v>0</v>
      </c>
      <c r="Z46" s="54">
        <f>IF(AND($Y46&gt;0,C46=0),1,0)</f>
        <v>0</v>
      </c>
      <c r="AA46" s="54">
        <f t="shared" si="17"/>
        <v>0</v>
      </c>
      <c r="AB46" s="54">
        <f>IF(AND(Y46&gt;0,NOT(ISTEXT(D46))),1,0)</f>
        <v>0</v>
      </c>
      <c r="AC46" s="54">
        <f t="shared" si="18"/>
        <v>0</v>
      </c>
      <c r="AD46" s="54">
        <f t="shared" si="19"/>
        <v>0</v>
      </c>
      <c r="AE46" s="54">
        <f t="shared" si="20"/>
        <v>0</v>
      </c>
      <c r="AF46" s="54">
        <f>IF(ISBLANK($I46),0,IF($J46&gt;VLOOKUP($I46,Meal_limits,IF($C$46&gt;Old_meal_rates_end_date,4,2),0),1,0))</f>
        <v>0</v>
      </c>
      <c r="AG46" s="54">
        <f>IF(ISBLANK($I46),0,IF($J46&gt;VLOOKUP($I46,Meal_limits,IF($C$46&gt;Old_meal_rates_end_date,5,3),0),1,0))</f>
        <v>0</v>
      </c>
      <c r="AH46" s="54">
        <f t="shared" si="21"/>
        <v>0</v>
      </c>
      <c r="AI46" s="54">
        <v>1</v>
      </c>
    </row>
    <row r="47" spans="1:35" ht="12" customHeight="1" x14ac:dyDescent="0.2">
      <c r="A47" s="167">
        <f t="shared" ref="A47" si="24">A46</f>
        <v>0</v>
      </c>
      <c r="B47" s="151"/>
      <c r="C47" s="198"/>
      <c r="D47" s="187"/>
      <c r="E47" s="184"/>
      <c r="F47" s="187"/>
      <c r="G47" s="187"/>
      <c r="H47" s="52"/>
      <c r="I47" s="15"/>
      <c r="J47" s="115"/>
      <c r="K47" s="190"/>
      <c r="L47" s="116"/>
      <c r="M47" s="117"/>
      <c r="N47" s="205"/>
      <c r="O47" s="135"/>
      <c r="P47" s="19"/>
      <c r="Q47" s="50"/>
      <c r="R47" s="50"/>
      <c r="S47" s="50"/>
      <c r="T47" s="50"/>
      <c r="U47" s="50"/>
      <c r="V47" s="50"/>
      <c r="W47" s="19"/>
      <c r="Y47" s="53">
        <f>IF(OR(C$46&lt;&gt;0,E47&lt;&gt;0,J47&lt;&gt;0,K47&lt;&gt;0,M47&lt;&gt;0),1,0)</f>
        <v>0</v>
      </c>
      <c r="Z47" s="96">
        <v>0</v>
      </c>
      <c r="AA47" s="54">
        <f t="shared" si="17"/>
        <v>0</v>
      </c>
      <c r="AB47" s="96">
        <v>0</v>
      </c>
      <c r="AC47" s="54">
        <f t="shared" si="18"/>
        <v>0</v>
      </c>
      <c r="AD47" s="54">
        <f t="shared" si="19"/>
        <v>0</v>
      </c>
      <c r="AE47" s="54">
        <f t="shared" si="20"/>
        <v>0</v>
      </c>
      <c r="AF47" s="54">
        <f>IF(ISBLANK($I47),0,IF($J47&gt;VLOOKUP($I47,Meal_limits,IF($C$46&gt;Old_meal_rates_end_date,4,2),0),1,0))</f>
        <v>0</v>
      </c>
      <c r="AG47" s="54">
        <f>IF(ISBLANK($I47),0,IF($J47&gt;VLOOKUP($I47,Meal_limits,IF($C$46&gt;Old_meal_rates_end_date,5,3),0),1,0))</f>
        <v>0</v>
      </c>
      <c r="AH47" s="54">
        <f t="shared" si="21"/>
        <v>0</v>
      </c>
      <c r="AI47" s="54">
        <v>1</v>
      </c>
    </row>
    <row r="48" spans="1:35" ht="12" customHeight="1" x14ac:dyDescent="0.2">
      <c r="A48" s="168">
        <f t="shared" ref="A48" si="25">A46</f>
        <v>0</v>
      </c>
      <c r="B48" s="151"/>
      <c r="C48" s="199"/>
      <c r="D48" s="188"/>
      <c r="E48" s="185"/>
      <c r="F48" s="188"/>
      <c r="G48" s="188"/>
      <c r="H48" s="52"/>
      <c r="I48" s="144"/>
      <c r="J48" s="118"/>
      <c r="K48" s="191"/>
      <c r="L48" s="119"/>
      <c r="M48" s="120"/>
      <c r="N48" s="205"/>
      <c r="O48" s="135"/>
      <c r="P48" s="19"/>
      <c r="Q48" s="50"/>
      <c r="R48" s="50"/>
      <c r="S48" s="50"/>
      <c r="T48" s="50"/>
      <c r="U48" s="50"/>
      <c r="V48" s="50"/>
      <c r="W48" s="19"/>
      <c r="Y48" s="53">
        <f>IF(OR(C$46&lt;&gt;0,E48&lt;&gt;0,J48&lt;&gt;0,K48&lt;&gt;0,M48&lt;&gt;0),1,0)</f>
        <v>0</v>
      </c>
      <c r="Z48" s="96">
        <v>0</v>
      </c>
      <c r="AA48" s="54">
        <f t="shared" si="17"/>
        <v>0</v>
      </c>
      <c r="AB48" s="96">
        <v>0</v>
      </c>
      <c r="AC48" s="54">
        <f t="shared" si="18"/>
        <v>0</v>
      </c>
      <c r="AD48" s="54">
        <f t="shared" si="19"/>
        <v>0</v>
      </c>
      <c r="AE48" s="54">
        <f t="shared" si="20"/>
        <v>0</v>
      </c>
      <c r="AF48" s="54">
        <f>IF(ISBLANK($I48),0,IF($J48&gt;VLOOKUP($I48,Meal_limits,IF($C$46&gt;Old_meal_rates_end_date,4,2),0),1,0))</f>
        <v>0</v>
      </c>
      <c r="AG48" s="54">
        <f>IF(ISBLANK($I48),0,IF($J48&gt;VLOOKUP($I48,Meal_limits,IF($C$46&gt;Old_meal_rates_end_date,5,3),0),1,0))</f>
        <v>0</v>
      </c>
      <c r="AH48" s="54">
        <f t="shared" si="21"/>
        <v>0</v>
      </c>
      <c r="AI48" s="54">
        <v>1</v>
      </c>
    </row>
    <row r="49" spans="1:35" ht="12" customHeight="1" x14ac:dyDescent="0.2">
      <c r="A49" s="166">
        <f t="shared" si="8"/>
        <v>0</v>
      </c>
      <c r="B49" s="151">
        <v>14</v>
      </c>
      <c r="C49" s="197"/>
      <c r="D49" s="200"/>
      <c r="E49" s="183"/>
      <c r="F49" s="186"/>
      <c r="G49" s="186"/>
      <c r="H49" s="52"/>
      <c r="I49" s="17"/>
      <c r="J49" s="16"/>
      <c r="K49" s="189"/>
      <c r="L49" s="121"/>
      <c r="M49" s="114"/>
      <c r="N49" s="205"/>
      <c r="O49" s="135"/>
      <c r="P49" s="19"/>
      <c r="Q49" s="50"/>
      <c r="R49" s="50"/>
      <c r="S49" s="50"/>
      <c r="T49" s="50"/>
      <c r="U49" s="50"/>
      <c r="V49" s="50"/>
      <c r="W49" s="19"/>
      <c r="Y49" s="53">
        <f>IF(OR(C$49&lt;&gt;0,E49&lt;&gt;0,J49&lt;&gt;0,K49&lt;&gt;0,M49&lt;&gt;0),1,0)</f>
        <v>0</v>
      </c>
      <c r="Z49" s="54">
        <f>IF(AND($Y49&gt;0,C49=0),1,0)</f>
        <v>0</v>
      </c>
      <c r="AA49" s="54">
        <f t="shared" si="17"/>
        <v>0</v>
      </c>
      <c r="AB49" s="54">
        <f>IF(AND(Y49&gt;0,NOT(ISTEXT(D49))),1,0)</f>
        <v>0</v>
      </c>
      <c r="AC49" s="54">
        <f t="shared" si="18"/>
        <v>0</v>
      </c>
      <c r="AD49" s="54">
        <f t="shared" si="19"/>
        <v>0</v>
      </c>
      <c r="AE49" s="54">
        <f t="shared" si="20"/>
        <v>0</v>
      </c>
      <c r="AF49" s="54">
        <f>IF(ISBLANK($I49),0,IF($J49&gt;VLOOKUP($I49,Meal_limits,IF($C$49&gt;Old_meal_rates_end_date,4,2),0),1,0))</f>
        <v>0</v>
      </c>
      <c r="AG49" s="54">
        <f>IF(ISBLANK($I49),0,IF($J49&gt;VLOOKUP($I49,Meal_limits,IF($C$49&gt;Old_meal_rates_end_date,5,3),0),1,0))</f>
        <v>0</v>
      </c>
      <c r="AH49" s="54">
        <f t="shared" si="21"/>
        <v>0</v>
      </c>
      <c r="AI49" s="54">
        <v>1</v>
      </c>
    </row>
    <row r="50" spans="1:35" ht="12" customHeight="1" x14ac:dyDescent="0.2">
      <c r="A50" s="167">
        <f t="shared" ref="A50" si="26">A49</f>
        <v>0</v>
      </c>
      <c r="B50" s="151"/>
      <c r="C50" s="198"/>
      <c r="D50" s="187"/>
      <c r="E50" s="184"/>
      <c r="F50" s="187"/>
      <c r="G50" s="187"/>
      <c r="H50" s="52"/>
      <c r="I50" s="15"/>
      <c r="J50" s="115"/>
      <c r="K50" s="190"/>
      <c r="L50" s="116"/>
      <c r="M50" s="117"/>
      <c r="N50" s="205"/>
      <c r="O50" s="135"/>
      <c r="P50" s="19"/>
      <c r="Q50" s="50"/>
      <c r="R50" s="50"/>
      <c r="S50" s="50"/>
      <c r="T50" s="50"/>
      <c r="U50" s="50"/>
      <c r="V50" s="50"/>
      <c r="W50" s="19"/>
      <c r="Y50" s="53">
        <f>IF(OR(C$49&lt;&gt;0,E50&lt;&gt;0,J50&lt;&gt;0,K50&lt;&gt;0,M50&lt;&gt;0),1,0)</f>
        <v>0</v>
      </c>
      <c r="Z50" s="96">
        <v>0</v>
      </c>
      <c r="AA50" s="54">
        <f t="shared" si="17"/>
        <v>0</v>
      </c>
      <c r="AB50" s="96">
        <v>0</v>
      </c>
      <c r="AC50" s="54">
        <f t="shared" si="18"/>
        <v>0</v>
      </c>
      <c r="AD50" s="54">
        <f t="shared" si="19"/>
        <v>0</v>
      </c>
      <c r="AE50" s="54">
        <f t="shared" si="20"/>
        <v>0</v>
      </c>
      <c r="AF50" s="54">
        <f>IF(ISBLANK($I50),0,IF($J50&gt;VLOOKUP($I50,Meal_limits,IF($C$49&gt;Old_meal_rates_end_date,4,2),0),1,0))</f>
        <v>0</v>
      </c>
      <c r="AG50" s="54">
        <f>IF(ISBLANK($I50),0,IF($J50&gt;VLOOKUP($I50,Meal_limits,IF($C$49&gt;Old_meal_rates_end_date,5,3),0),1,0))</f>
        <v>0</v>
      </c>
      <c r="AH50" s="54">
        <f t="shared" si="21"/>
        <v>0</v>
      </c>
      <c r="AI50" s="54">
        <v>1</v>
      </c>
    </row>
    <row r="51" spans="1:35" ht="12" customHeight="1" x14ac:dyDescent="0.2">
      <c r="A51" s="168">
        <f t="shared" ref="A51" si="27">A49</f>
        <v>0</v>
      </c>
      <c r="B51" s="151"/>
      <c r="C51" s="199"/>
      <c r="D51" s="188"/>
      <c r="E51" s="185"/>
      <c r="F51" s="188"/>
      <c r="G51" s="188"/>
      <c r="H51" s="52"/>
      <c r="I51" s="144"/>
      <c r="J51" s="118"/>
      <c r="K51" s="191"/>
      <c r="L51" s="119"/>
      <c r="M51" s="120"/>
      <c r="N51" s="205"/>
      <c r="O51" s="135"/>
      <c r="P51" s="19"/>
      <c r="Q51" s="50"/>
      <c r="R51" s="50"/>
      <c r="S51" s="50"/>
      <c r="T51" s="50"/>
      <c r="U51" s="50"/>
      <c r="V51" s="50"/>
      <c r="W51" s="19"/>
      <c r="Y51" s="53">
        <f>IF(OR(C$49&lt;&gt;0,E51&lt;&gt;0,J51&lt;&gt;0,K51&lt;&gt;0,M51&lt;&gt;0),1,0)</f>
        <v>0</v>
      </c>
      <c r="Z51" s="96">
        <v>0</v>
      </c>
      <c r="AA51" s="54">
        <f t="shared" si="17"/>
        <v>0</v>
      </c>
      <c r="AB51" s="96">
        <v>0</v>
      </c>
      <c r="AC51" s="54">
        <f t="shared" si="18"/>
        <v>0</v>
      </c>
      <c r="AD51" s="54">
        <f t="shared" si="19"/>
        <v>0</v>
      </c>
      <c r="AE51" s="54">
        <f t="shared" si="20"/>
        <v>0</v>
      </c>
      <c r="AF51" s="54">
        <f>IF(ISBLANK($I51),0,IF($J51&gt;VLOOKUP($I51,Meal_limits,IF($C$49&gt;Old_meal_rates_end_date,4,2),0),1,0))</f>
        <v>0</v>
      </c>
      <c r="AG51" s="54">
        <f>IF(ISBLANK($I51),0,IF($J51&gt;VLOOKUP($I51,Meal_limits,IF($C$49&gt;Old_meal_rates_end_date,5,3),0),1,0))</f>
        <v>0</v>
      </c>
      <c r="AH51" s="54">
        <f t="shared" si="21"/>
        <v>0</v>
      </c>
      <c r="AI51" s="54">
        <v>1</v>
      </c>
    </row>
    <row r="52" spans="1:35" ht="12" customHeight="1" x14ac:dyDescent="0.2">
      <c r="A52" s="166">
        <f t="shared" si="8"/>
        <v>0</v>
      </c>
      <c r="B52" s="151">
        <v>15</v>
      </c>
      <c r="C52" s="197"/>
      <c r="D52" s="200"/>
      <c r="E52" s="183"/>
      <c r="F52" s="186"/>
      <c r="G52" s="186"/>
      <c r="H52" s="52"/>
      <c r="I52" s="17"/>
      <c r="J52" s="16"/>
      <c r="K52" s="189"/>
      <c r="L52" s="121"/>
      <c r="M52" s="114"/>
      <c r="N52" s="205"/>
      <c r="O52" s="135"/>
      <c r="P52" s="19"/>
      <c r="Q52" s="50"/>
      <c r="R52" s="50"/>
      <c r="S52" s="50"/>
      <c r="T52" s="50"/>
      <c r="U52" s="50"/>
      <c r="V52" s="50"/>
      <c r="W52" s="19"/>
      <c r="Y52" s="53">
        <f>IF(OR(C$52&lt;&gt;0,E52&lt;&gt;0,J52&lt;&gt;0,K52&lt;&gt;0,M52&lt;&gt;0),1,0)</f>
        <v>0</v>
      </c>
      <c r="Z52" s="54">
        <f>IF(AND($Y52&gt;0,C52=0),1,0)</f>
        <v>0</v>
      </c>
      <c r="AA52" s="54">
        <f t="shared" si="17"/>
        <v>0</v>
      </c>
      <c r="AB52" s="54">
        <f>IF(AND(Y52&gt;0,NOT(ISTEXT(D52))),1,0)</f>
        <v>0</v>
      </c>
      <c r="AC52" s="54">
        <f t="shared" si="18"/>
        <v>0</v>
      </c>
      <c r="AD52" s="54">
        <f t="shared" si="19"/>
        <v>0</v>
      </c>
      <c r="AE52" s="54">
        <f t="shared" si="20"/>
        <v>0</v>
      </c>
      <c r="AF52" s="54">
        <f>IF(ISBLANK($I52),0,IF($J52&gt;VLOOKUP($I52,Meal_limits,IF($C$52&gt;Old_meal_rates_end_date,4,2),0),1,0))</f>
        <v>0</v>
      </c>
      <c r="AG52" s="54">
        <f>IF(ISBLANK($I52),0,IF($J52&gt;VLOOKUP($I52,Meal_limits,IF($C$52&gt;Old_meal_rates_end_date,5,3),0),1,0))</f>
        <v>0</v>
      </c>
      <c r="AH52" s="54">
        <f t="shared" si="21"/>
        <v>0</v>
      </c>
      <c r="AI52" s="54">
        <v>1</v>
      </c>
    </row>
    <row r="53" spans="1:35" ht="12" customHeight="1" x14ac:dyDescent="0.2">
      <c r="A53" s="167">
        <f t="shared" ref="A53" si="28">A52</f>
        <v>0</v>
      </c>
      <c r="B53" s="151"/>
      <c r="C53" s="198"/>
      <c r="D53" s="187"/>
      <c r="E53" s="184"/>
      <c r="F53" s="187"/>
      <c r="G53" s="187"/>
      <c r="H53" s="52"/>
      <c r="I53" s="15"/>
      <c r="J53" s="115"/>
      <c r="K53" s="190"/>
      <c r="L53" s="116"/>
      <c r="M53" s="117"/>
      <c r="N53" s="205"/>
      <c r="O53" s="135"/>
      <c r="P53" s="19"/>
      <c r="Q53" s="50"/>
      <c r="R53" s="50"/>
      <c r="S53" s="50"/>
      <c r="T53" s="50"/>
      <c r="U53" s="50"/>
      <c r="V53" s="50"/>
      <c r="W53" s="19"/>
      <c r="Y53" s="53">
        <f>IF(OR(C$52&lt;&gt;0,E53&lt;&gt;0,J53&lt;&gt;0,K53&lt;&gt;0,M53&lt;&gt;0),1,0)</f>
        <v>0</v>
      </c>
      <c r="Z53" s="96">
        <v>0</v>
      </c>
      <c r="AA53" s="54">
        <f t="shared" si="17"/>
        <v>0</v>
      </c>
      <c r="AB53" s="96">
        <v>0</v>
      </c>
      <c r="AC53" s="54">
        <f t="shared" si="18"/>
        <v>0</v>
      </c>
      <c r="AD53" s="54">
        <f t="shared" si="19"/>
        <v>0</v>
      </c>
      <c r="AE53" s="54">
        <f t="shared" si="20"/>
        <v>0</v>
      </c>
      <c r="AF53" s="54">
        <f>IF(ISBLANK($I53),0,IF($J53&gt;VLOOKUP($I53,Meal_limits,IF($C$52&gt;Old_meal_rates_end_date,4,2),0),1,0))</f>
        <v>0</v>
      </c>
      <c r="AG53" s="54">
        <f>IF(ISBLANK($I53),0,IF($J53&gt;VLOOKUP($I53,Meal_limits,IF($C$52&gt;Old_meal_rates_end_date,5,3),0),1,0))</f>
        <v>0</v>
      </c>
      <c r="AH53" s="54">
        <f t="shared" si="21"/>
        <v>0</v>
      </c>
      <c r="AI53" s="54">
        <v>1</v>
      </c>
    </row>
    <row r="54" spans="1:35" ht="12" customHeight="1" x14ac:dyDescent="0.2">
      <c r="A54" s="168">
        <f t="shared" ref="A54" si="29">A52</f>
        <v>0</v>
      </c>
      <c r="B54" s="151"/>
      <c r="C54" s="199"/>
      <c r="D54" s="188"/>
      <c r="E54" s="185"/>
      <c r="F54" s="188"/>
      <c r="G54" s="188"/>
      <c r="H54" s="52"/>
      <c r="I54" s="144"/>
      <c r="J54" s="118"/>
      <c r="K54" s="191"/>
      <c r="L54" s="119"/>
      <c r="M54" s="120"/>
      <c r="N54" s="205"/>
      <c r="O54" s="135"/>
      <c r="P54" s="19"/>
      <c r="Q54" s="50"/>
      <c r="R54" s="50"/>
      <c r="S54" s="50"/>
      <c r="T54" s="50"/>
      <c r="U54" s="50"/>
      <c r="V54" s="50"/>
      <c r="W54" s="19"/>
      <c r="Y54" s="53">
        <f>IF(OR(C$52&lt;&gt;0,E54&lt;&gt;0,J54&lt;&gt;0,K54&lt;&gt;0,M54&lt;&gt;0),1,0)</f>
        <v>0</v>
      </c>
      <c r="Z54" s="96">
        <v>0</v>
      </c>
      <c r="AA54" s="54">
        <f t="shared" si="17"/>
        <v>0</v>
      </c>
      <c r="AB54" s="96">
        <v>0</v>
      </c>
      <c r="AC54" s="54">
        <f t="shared" si="18"/>
        <v>0</v>
      </c>
      <c r="AD54" s="54">
        <f t="shared" si="19"/>
        <v>0</v>
      </c>
      <c r="AE54" s="54">
        <f t="shared" si="20"/>
        <v>0</v>
      </c>
      <c r="AF54" s="54">
        <f>IF(ISBLANK($I54),0,IF($J54&gt;VLOOKUP($I54,Meal_limits,IF($C$52&gt;Old_meal_rates_end_date,4,2),0),1,0))</f>
        <v>0</v>
      </c>
      <c r="AG54" s="54">
        <f>IF(ISBLANK($I54),0,IF($J54&gt;VLOOKUP($I54,Meal_limits,IF($C$52&gt;Old_meal_rates_end_date,5,3),0),1,0))</f>
        <v>0</v>
      </c>
      <c r="AH54" s="54">
        <f t="shared" si="21"/>
        <v>0</v>
      </c>
      <c r="AI54" s="54">
        <v>1</v>
      </c>
    </row>
    <row r="55" spans="1:35" ht="12" customHeight="1" x14ac:dyDescent="0.2">
      <c r="A55" s="166">
        <f t="shared" si="8"/>
        <v>0</v>
      </c>
      <c r="B55" s="151">
        <v>16</v>
      </c>
      <c r="C55" s="197"/>
      <c r="D55" s="200"/>
      <c r="E55" s="183"/>
      <c r="F55" s="186"/>
      <c r="G55" s="186"/>
      <c r="H55" s="52"/>
      <c r="I55" s="17"/>
      <c r="J55" s="16"/>
      <c r="K55" s="189"/>
      <c r="L55" s="121"/>
      <c r="M55" s="114"/>
      <c r="N55" s="205"/>
      <c r="O55" s="135"/>
      <c r="P55" s="19"/>
      <c r="Q55" s="50"/>
      <c r="R55" s="50"/>
      <c r="S55" s="50"/>
      <c r="T55" s="50"/>
      <c r="U55" s="50"/>
      <c r="V55" s="50"/>
      <c r="W55" s="19"/>
      <c r="Y55" s="53">
        <f>IF(OR(C$55&lt;&gt;0,E55&lt;&gt;0,J55&lt;&gt;0,K55&lt;&gt;0,M55&lt;&gt;0),1,0)</f>
        <v>0</v>
      </c>
      <c r="Z55" s="54">
        <f>IF(AND($Y55&gt;0,C55=0),1,0)</f>
        <v>0</v>
      </c>
      <c r="AA55" s="54">
        <f t="shared" si="17"/>
        <v>0</v>
      </c>
      <c r="AB55" s="54">
        <f>IF(AND(Y55&gt;0,NOT(ISTEXT(D55))),1,0)</f>
        <v>0</v>
      </c>
      <c r="AC55" s="54">
        <f t="shared" si="18"/>
        <v>0</v>
      </c>
      <c r="AD55" s="54">
        <f t="shared" si="19"/>
        <v>0</v>
      </c>
      <c r="AE55" s="54">
        <f t="shared" si="20"/>
        <v>0</v>
      </c>
      <c r="AF55" s="54">
        <f>IF(ISBLANK($I55),0,IF($J55&gt;VLOOKUP($I55,Meal_limits,IF($C$55&gt;Old_meal_rates_end_date,4,2),0),1,0))</f>
        <v>0</v>
      </c>
      <c r="AG55" s="54">
        <f>IF(ISBLANK($I55),0,IF($J55&gt;VLOOKUP($I55,Meal_limits,IF($C$55&gt;Old_meal_rates_end_date,5,3),0),1,0))</f>
        <v>0</v>
      </c>
      <c r="AH55" s="54">
        <f t="shared" si="21"/>
        <v>0</v>
      </c>
      <c r="AI55" s="54">
        <v>1</v>
      </c>
    </row>
    <row r="56" spans="1:35" ht="12" customHeight="1" x14ac:dyDescent="0.2">
      <c r="A56" s="167">
        <f t="shared" ref="A56" si="30">A55</f>
        <v>0</v>
      </c>
      <c r="B56" s="151"/>
      <c r="C56" s="198"/>
      <c r="D56" s="187"/>
      <c r="E56" s="184"/>
      <c r="F56" s="187"/>
      <c r="G56" s="187"/>
      <c r="H56" s="52"/>
      <c r="I56" s="15"/>
      <c r="J56" s="115"/>
      <c r="K56" s="190"/>
      <c r="L56" s="116"/>
      <c r="M56" s="117"/>
      <c r="N56" s="205"/>
      <c r="O56" s="135"/>
      <c r="P56" s="19"/>
      <c r="Q56" s="50"/>
      <c r="R56" s="50"/>
      <c r="S56" s="50"/>
      <c r="T56" s="50"/>
      <c r="U56" s="50"/>
      <c r="V56" s="50"/>
      <c r="W56" s="19"/>
      <c r="Y56" s="53">
        <f>IF(OR(C$55&lt;&gt;0,E56&lt;&gt;0,J56&lt;&gt;0,K56&lt;&gt;0,M56&lt;&gt;0),1,0)</f>
        <v>0</v>
      </c>
      <c r="Z56" s="96">
        <v>0</v>
      </c>
      <c r="AA56" s="54">
        <f t="shared" si="17"/>
        <v>0</v>
      </c>
      <c r="AB56" s="96">
        <v>0</v>
      </c>
      <c r="AC56" s="54">
        <f t="shared" si="18"/>
        <v>0</v>
      </c>
      <c r="AD56" s="54">
        <f t="shared" si="19"/>
        <v>0</v>
      </c>
      <c r="AE56" s="54">
        <f t="shared" si="20"/>
        <v>0</v>
      </c>
      <c r="AF56" s="54">
        <f>IF(ISBLANK($I56),0,IF($J56&gt;VLOOKUP($I56,Meal_limits,IF($C$55&gt;Old_meal_rates_end_date,4,2),0),1,0))</f>
        <v>0</v>
      </c>
      <c r="AG56" s="54">
        <f>IF(ISBLANK($I56),0,IF($J56&gt;VLOOKUP($I56,Meal_limits,IF($C$55&gt;Old_meal_rates_end_date,5,3),0),1,0))</f>
        <v>0</v>
      </c>
      <c r="AH56" s="54">
        <f t="shared" si="21"/>
        <v>0</v>
      </c>
      <c r="AI56" s="54">
        <v>1</v>
      </c>
    </row>
    <row r="57" spans="1:35" ht="12" customHeight="1" x14ac:dyDescent="0.2">
      <c r="A57" s="168">
        <f t="shared" ref="A57" si="31">A55</f>
        <v>0</v>
      </c>
      <c r="B57" s="151"/>
      <c r="C57" s="199"/>
      <c r="D57" s="188"/>
      <c r="E57" s="185"/>
      <c r="F57" s="188"/>
      <c r="G57" s="188"/>
      <c r="H57" s="52"/>
      <c r="I57" s="144"/>
      <c r="J57" s="118"/>
      <c r="K57" s="191"/>
      <c r="L57" s="119"/>
      <c r="M57" s="120"/>
      <c r="N57" s="205"/>
      <c r="O57" s="135"/>
      <c r="P57" s="19"/>
      <c r="Q57" s="50"/>
      <c r="R57" s="50"/>
      <c r="S57" s="50"/>
      <c r="T57" s="50"/>
      <c r="U57" s="50"/>
      <c r="V57" s="50"/>
      <c r="W57" s="19"/>
      <c r="Y57" s="53">
        <f>IF(OR(C$55&lt;&gt;0,E57&lt;&gt;0,J57&lt;&gt;0,K57&lt;&gt;0,M57&lt;&gt;0),1,0)</f>
        <v>0</v>
      </c>
      <c r="Z57" s="96">
        <v>0</v>
      </c>
      <c r="AA57" s="54">
        <f t="shared" si="17"/>
        <v>0</v>
      </c>
      <c r="AB57" s="96">
        <v>0</v>
      </c>
      <c r="AC57" s="54">
        <f t="shared" si="18"/>
        <v>0</v>
      </c>
      <c r="AD57" s="54">
        <f t="shared" si="19"/>
        <v>0</v>
      </c>
      <c r="AE57" s="54">
        <f t="shared" si="20"/>
        <v>0</v>
      </c>
      <c r="AF57" s="54">
        <f>IF(ISBLANK($I57),0,IF($J57&gt;VLOOKUP($I57,Meal_limits,IF($C$55&gt;Old_meal_rates_end_date,4,2),0),1,0))</f>
        <v>0</v>
      </c>
      <c r="AG57" s="54">
        <f>IF(ISBLANK($I57),0,IF($J57&gt;VLOOKUP($I57,Meal_limits,IF($C$55&gt;Old_meal_rates_end_date,5,3),0),1,0))</f>
        <v>0</v>
      </c>
      <c r="AH57" s="54">
        <f t="shared" si="21"/>
        <v>0</v>
      </c>
      <c r="AI57" s="54">
        <v>1</v>
      </c>
    </row>
    <row r="58" spans="1:35" ht="12" customHeight="1" x14ac:dyDescent="0.2">
      <c r="A58" s="166">
        <f t="shared" si="8"/>
        <v>0</v>
      </c>
      <c r="B58" s="151">
        <v>17</v>
      </c>
      <c r="C58" s="197"/>
      <c r="D58" s="200"/>
      <c r="E58" s="183"/>
      <c r="F58" s="186"/>
      <c r="G58" s="186"/>
      <c r="H58" s="52"/>
      <c r="I58" s="17"/>
      <c r="J58" s="16"/>
      <c r="K58" s="189"/>
      <c r="L58" s="121"/>
      <c r="M58" s="114"/>
      <c r="N58" s="205"/>
      <c r="O58" s="135"/>
      <c r="P58" s="19"/>
      <c r="Q58" s="50"/>
      <c r="R58" s="50"/>
      <c r="S58" s="50"/>
      <c r="T58" s="50"/>
      <c r="U58" s="50"/>
      <c r="V58" s="50"/>
      <c r="W58" s="19"/>
      <c r="Y58" s="53">
        <f>IF(OR(C$58&lt;&gt;0,E58&lt;&gt;0,J58&lt;&gt;0,K58&lt;&gt;0,M58&lt;&gt;0),1,0)</f>
        <v>0</v>
      </c>
      <c r="Z58" s="54">
        <f>IF(AND($Y58&gt;0,C58=0),1,0)</f>
        <v>0</v>
      </c>
      <c r="AA58" s="54">
        <f t="shared" si="17"/>
        <v>0</v>
      </c>
      <c r="AB58" s="54">
        <f>IF(AND(Y58&gt;0,NOT(ISTEXT(D58))),1,0)</f>
        <v>0</v>
      </c>
      <c r="AC58" s="54">
        <f t="shared" si="18"/>
        <v>0</v>
      </c>
      <c r="AD58" s="54">
        <f t="shared" si="19"/>
        <v>0</v>
      </c>
      <c r="AE58" s="54">
        <f t="shared" si="20"/>
        <v>0</v>
      </c>
      <c r="AF58" s="54">
        <f>IF(ISBLANK($I58),0,IF($J58&gt;VLOOKUP($I58,Meal_limits,IF($C$58&gt;Old_meal_rates_end_date,4,2),0),1,0))</f>
        <v>0</v>
      </c>
      <c r="AG58" s="54">
        <f>IF(ISBLANK($I58),0,IF($J58&gt;VLOOKUP($I58,Meal_limits,IF($C$58&gt;Old_meal_rates_end_date,5,3),0),1,0))</f>
        <v>0</v>
      </c>
      <c r="AH58" s="54">
        <f t="shared" si="21"/>
        <v>0</v>
      </c>
      <c r="AI58" s="54">
        <v>1</v>
      </c>
    </row>
    <row r="59" spans="1:35" ht="12" customHeight="1" x14ac:dyDescent="0.2">
      <c r="A59" s="167">
        <f t="shared" ref="A59" si="32">A58</f>
        <v>0</v>
      </c>
      <c r="B59" s="151"/>
      <c r="C59" s="198"/>
      <c r="D59" s="187"/>
      <c r="E59" s="184"/>
      <c r="F59" s="187"/>
      <c r="G59" s="187"/>
      <c r="H59" s="52"/>
      <c r="I59" s="15"/>
      <c r="J59" s="115"/>
      <c r="K59" s="190"/>
      <c r="L59" s="116"/>
      <c r="M59" s="117"/>
      <c r="N59" s="205"/>
      <c r="O59" s="135"/>
      <c r="P59" s="19"/>
      <c r="Q59" s="50"/>
      <c r="R59" s="50"/>
      <c r="S59" s="50"/>
      <c r="T59" s="50"/>
      <c r="U59" s="50"/>
      <c r="V59" s="50"/>
      <c r="W59" s="19"/>
      <c r="Y59" s="53">
        <f>IF(OR(C$58&lt;&gt;0,E59&lt;&gt;0,J59&lt;&gt;0,K59&lt;&gt;0,M59&lt;&gt;0),1,0)</f>
        <v>0</v>
      </c>
      <c r="Z59" s="96">
        <v>0</v>
      </c>
      <c r="AA59" s="54">
        <f t="shared" si="17"/>
        <v>0</v>
      </c>
      <c r="AB59" s="96">
        <v>0</v>
      </c>
      <c r="AC59" s="54">
        <f t="shared" si="18"/>
        <v>0</v>
      </c>
      <c r="AD59" s="54">
        <f t="shared" si="19"/>
        <v>0</v>
      </c>
      <c r="AE59" s="54">
        <f t="shared" si="20"/>
        <v>0</v>
      </c>
      <c r="AF59" s="54">
        <f>IF(ISBLANK($I59),0,IF($J59&gt;VLOOKUP($I59,Meal_limits,IF($C$58&gt;Old_meal_rates_end_date,4,2),0),1,0))</f>
        <v>0</v>
      </c>
      <c r="AG59" s="54">
        <f>IF(ISBLANK($I59),0,IF($J59&gt;VLOOKUP($I59,Meal_limits,IF($C$58&gt;Old_meal_rates_end_date,5,3),0),1,0))</f>
        <v>0</v>
      </c>
      <c r="AH59" s="54">
        <f t="shared" si="21"/>
        <v>0</v>
      </c>
      <c r="AI59" s="54">
        <v>1</v>
      </c>
    </row>
    <row r="60" spans="1:35" ht="12" customHeight="1" x14ac:dyDescent="0.2">
      <c r="A60" s="168">
        <f t="shared" ref="A60" si="33">A58</f>
        <v>0</v>
      </c>
      <c r="B60" s="151"/>
      <c r="C60" s="199"/>
      <c r="D60" s="188"/>
      <c r="E60" s="185"/>
      <c r="F60" s="188"/>
      <c r="G60" s="188"/>
      <c r="H60" s="52"/>
      <c r="I60" s="144"/>
      <c r="J60" s="118"/>
      <c r="K60" s="191"/>
      <c r="L60" s="119"/>
      <c r="M60" s="120"/>
      <c r="N60" s="205"/>
      <c r="O60" s="135"/>
      <c r="P60" s="19"/>
      <c r="Q60" s="50"/>
      <c r="R60" s="50"/>
      <c r="S60" s="50"/>
      <c r="T60" s="50"/>
      <c r="U60" s="50"/>
      <c r="V60" s="50"/>
      <c r="W60" s="19"/>
      <c r="Y60" s="53">
        <f>IF(OR(C$58&lt;&gt;0,E60&lt;&gt;0,J60&lt;&gt;0,K60&lt;&gt;0,M60&lt;&gt;0),1,0)</f>
        <v>0</v>
      </c>
      <c r="Z60" s="96">
        <v>0</v>
      </c>
      <c r="AA60" s="54">
        <f t="shared" si="17"/>
        <v>0</v>
      </c>
      <c r="AB60" s="96">
        <v>0</v>
      </c>
      <c r="AC60" s="54">
        <f t="shared" si="18"/>
        <v>0</v>
      </c>
      <c r="AD60" s="54">
        <f t="shared" si="19"/>
        <v>0</v>
      </c>
      <c r="AE60" s="54">
        <f t="shared" si="20"/>
        <v>0</v>
      </c>
      <c r="AF60" s="54">
        <f>IF(ISBLANK($I60),0,IF($J60&gt;VLOOKUP($I60,Meal_limits,IF($C$58&gt;Old_meal_rates_end_date,4,2),0),1,0))</f>
        <v>0</v>
      </c>
      <c r="AG60" s="54">
        <f>IF(ISBLANK($I60),0,IF($J60&gt;VLOOKUP($I60,Meal_limits,IF($C$58&gt;Old_meal_rates_end_date,5,3),0),1,0))</f>
        <v>0</v>
      </c>
      <c r="AH60" s="54">
        <f t="shared" si="21"/>
        <v>0</v>
      </c>
      <c r="AI60" s="54">
        <v>1</v>
      </c>
    </row>
    <row r="61" spans="1:35" ht="12" customHeight="1" x14ac:dyDescent="0.2">
      <c r="A61" s="166">
        <f t="shared" si="8"/>
        <v>0</v>
      </c>
      <c r="B61" s="151">
        <v>18</v>
      </c>
      <c r="C61" s="197"/>
      <c r="D61" s="200"/>
      <c r="E61" s="183"/>
      <c r="F61" s="186"/>
      <c r="G61" s="186"/>
      <c r="H61" s="52"/>
      <c r="I61" s="17"/>
      <c r="J61" s="16"/>
      <c r="K61" s="189"/>
      <c r="L61" s="121"/>
      <c r="M61" s="114"/>
      <c r="N61" s="205"/>
      <c r="O61" s="135"/>
      <c r="P61" s="19"/>
      <c r="Q61" s="50"/>
      <c r="R61" s="50"/>
      <c r="S61" s="50"/>
      <c r="T61" s="50"/>
      <c r="U61" s="50"/>
      <c r="V61" s="50"/>
      <c r="W61" s="19"/>
      <c r="Y61" s="53">
        <f>IF(OR(C$61&lt;&gt;0,E61&lt;&gt;0,J61&lt;&gt;0,K61&lt;&gt;0,M61&lt;&gt;0),1,0)</f>
        <v>0</v>
      </c>
      <c r="Z61" s="54">
        <f>IF(AND($Y61&gt;0,C61=0),1,0)</f>
        <v>0</v>
      </c>
      <c r="AA61" s="54">
        <f t="shared" si="17"/>
        <v>0</v>
      </c>
      <c r="AB61" s="54">
        <f>IF(AND(Y61&gt;0,NOT(ISTEXT(D61))),1,0)</f>
        <v>0</v>
      </c>
      <c r="AC61" s="54">
        <f t="shared" si="18"/>
        <v>0</v>
      </c>
      <c r="AD61" s="54">
        <f t="shared" si="19"/>
        <v>0</v>
      </c>
      <c r="AE61" s="54">
        <f t="shared" si="20"/>
        <v>0</v>
      </c>
      <c r="AF61" s="54">
        <f>IF(ISBLANK($I61),0,IF($J61&gt;VLOOKUP($I61,Meal_limits,IF($C$61&gt;Old_meal_rates_end_date,4,2),0),1,0))</f>
        <v>0</v>
      </c>
      <c r="AG61" s="54">
        <f>IF(ISBLANK($I61),0,IF($J61&gt;VLOOKUP($I61,Meal_limits,IF($C$61&gt;Old_meal_rates_end_date,5,3),0),1,0))</f>
        <v>0</v>
      </c>
      <c r="AH61" s="54">
        <f t="shared" si="21"/>
        <v>0</v>
      </c>
      <c r="AI61" s="54">
        <v>1</v>
      </c>
    </row>
    <row r="62" spans="1:35" ht="12" customHeight="1" x14ac:dyDescent="0.2">
      <c r="A62" s="167">
        <f t="shared" ref="A62" si="34">A61</f>
        <v>0</v>
      </c>
      <c r="B62" s="151"/>
      <c r="C62" s="198"/>
      <c r="D62" s="187"/>
      <c r="E62" s="184"/>
      <c r="F62" s="187"/>
      <c r="G62" s="187"/>
      <c r="H62" s="52"/>
      <c r="I62" s="15"/>
      <c r="J62" s="115"/>
      <c r="K62" s="190"/>
      <c r="L62" s="116"/>
      <c r="M62" s="117"/>
      <c r="N62" s="205"/>
      <c r="O62" s="135"/>
      <c r="P62" s="19"/>
      <c r="Q62" s="50"/>
      <c r="R62" s="50"/>
      <c r="S62" s="50"/>
      <c r="T62" s="50"/>
      <c r="U62" s="50"/>
      <c r="V62" s="50"/>
      <c r="W62" s="19"/>
      <c r="Y62" s="53">
        <f>IF(OR(C$61&lt;&gt;0,E62&lt;&gt;0,J62&lt;&gt;0,K62&lt;&gt;0,M62&lt;&gt;0),1,0)</f>
        <v>0</v>
      </c>
      <c r="Z62" s="96">
        <v>0</v>
      </c>
      <c r="AA62" s="54">
        <f t="shared" si="17"/>
        <v>0</v>
      </c>
      <c r="AB62" s="96">
        <v>0</v>
      </c>
      <c r="AC62" s="54">
        <f t="shared" si="18"/>
        <v>0</v>
      </c>
      <c r="AD62" s="54">
        <f t="shared" si="19"/>
        <v>0</v>
      </c>
      <c r="AE62" s="54">
        <f t="shared" si="20"/>
        <v>0</v>
      </c>
      <c r="AF62" s="54">
        <f>IF(ISBLANK($I62),0,IF($J62&gt;VLOOKUP($I62,Meal_limits,IF($C$61&gt;Old_meal_rates_end_date,4,2),0),1,0))</f>
        <v>0</v>
      </c>
      <c r="AG62" s="54">
        <f>IF(ISBLANK($I62),0,IF($J62&gt;VLOOKUP($I62,Meal_limits,IF($C$61&gt;Old_meal_rates_end_date,5,3),0),1,0))</f>
        <v>0</v>
      </c>
      <c r="AH62" s="54">
        <f t="shared" si="21"/>
        <v>0</v>
      </c>
      <c r="AI62" s="54">
        <v>1</v>
      </c>
    </row>
    <row r="63" spans="1:35" ht="12" customHeight="1" x14ac:dyDescent="0.2">
      <c r="A63" s="168">
        <f t="shared" ref="A63" si="35">A61</f>
        <v>0</v>
      </c>
      <c r="B63" s="151"/>
      <c r="C63" s="199"/>
      <c r="D63" s="188"/>
      <c r="E63" s="185"/>
      <c r="F63" s="188"/>
      <c r="G63" s="188"/>
      <c r="H63" s="52"/>
      <c r="I63" s="144"/>
      <c r="J63" s="118"/>
      <c r="K63" s="191"/>
      <c r="L63" s="119"/>
      <c r="M63" s="120"/>
      <c r="N63" s="205"/>
      <c r="O63" s="135"/>
      <c r="P63" s="19"/>
      <c r="Q63" s="50"/>
      <c r="R63" s="50"/>
      <c r="S63" s="50"/>
      <c r="T63" s="50"/>
      <c r="U63" s="50"/>
      <c r="V63" s="50"/>
      <c r="W63" s="19"/>
      <c r="Y63" s="53">
        <f>IF(OR(C$61&lt;&gt;0,E63&lt;&gt;0,J63&lt;&gt;0,K63&lt;&gt;0,M63&lt;&gt;0),1,0)</f>
        <v>0</v>
      </c>
      <c r="Z63" s="96">
        <v>0</v>
      </c>
      <c r="AA63" s="54">
        <f t="shared" si="17"/>
        <v>0</v>
      </c>
      <c r="AB63" s="96">
        <v>0</v>
      </c>
      <c r="AC63" s="54">
        <f t="shared" si="18"/>
        <v>0</v>
      </c>
      <c r="AD63" s="54">
        <f t="shared" si="19"/>
        <v>0</v>
      </c>
      <c r="AE63" s="54">
        <f t="shared" si="20"/>
        <v>0</v>
      </c>
      <c r="AF63" s="54">
        <f>IF(ISBLANK($I63),0,IF($J63&gt;VLOOKUP($I63,Meal_limits,IF($C$61&gt;Old_meal_rates_end_date,4,2),0),1,0))</f>
        <v>0</v>
      </c>
      <c r="AG63" s="54">
        <f>IF(ISBLANK($I63),0,IF($J63&gt;VLOOKUP($I63,Meal_limits,IF($C$61&gt;Old_meal_rates_end_date,5,3),0),1,0))</f>
        <v>0</v>
      </c>
      <c r="AH63" s="54">
        <f t="shared" si="21"/>
        <v>0</v>
      </c>
      <c r="AI63" s="54">
        <v>1</v>
      </c>
    </row>
    <row r="64" spans="1:35" ht="12" customHeight="1" x14ac:dyDescent="0.2">
      <c r="A64" s="166">
        <f t="shared" si="8"/>
        <v>0</v>
      </c>
      <c r="B64" s="151">
        <v>19</v>
      </c>
      <c r="C64" s="197"/>
      <c r="D64" s="200"/>
      <c r="E64" s="183"/>
      <c r="F64" s="186"/>
      <c r="G64" s="186"/>
      <c r="H64" s="52"/>
      <c r="I64" s="17"/>
      <c r="J64" s="16"/>
      <c r="K64" s="189"/>
      <c r="L64" s="121"/>
      <c r="M64" s="114"/>
      <c r="N64" s="205"/>
      <c r="O64" s="135"/>
      <c r="P64" s="19"/>
      <c r="Q64" s="50"/>
      <c r="R64" s="50"/>
      <c r="S64" s="50"/>
      <c r="T64" s="50"/>
      <c r="U64" s="50"/>
      <c r="V64" s="50"/>
      <c r="W64" s="19"/>
      <c r="Y64" s="53">
        <f>IF(OR(C$64&lt;&gt;0,E64&lt;&gt;0,J64&lt;&gt;0,K64&lt;&gt;0,M64&lt;&gt;0),1,0)</f>
        <v>0</v>
      </c>
      <c r="Z64" s="54">
        <f>IF(AND($Y64&gt;0,C64=0),1,0)</f>
        <v>0</v>
      </c>
      <c r="AA64" s="54">
        <f t="shared" si="17"/>
        <v>0</v>
      </c>
      <c r="AB64" s="54">
        <f>IF(AND(Y64&gt;0,NOT(ISTEXT(D64))),1,0)</f>
        <v>0</v>
      </c>
      <c r="AC64" s="54">
        <f t="shared" si="18"/>
        <v>0</v>
      </c>
      <c r="AD64" s="54">
        <f t="shared" si="19"/>
        <v>0</v>
      </c>
      <c r="AE64" s="54">
        <f t="shared" si="20"/>
        <v>0</v>
      </c>
      <c r="AF64" s="54">
        <f>IF(ISBLANK($I64),0,IF($J64&gt;VLOOKUP($I64,Meal_limits,IF($C$64&gt;Old_meal_rates_end_date,4,2),0),1,0))</f>
        <v>0</v>
      </c>
      <c r="AG64" s="54">
        <f>IF(ISBLANK($I64),0,IF($J64&gt;VLOOKUP($I64,Meal_limits,IF($C$64&gt;Old_meal_rates_end_date,5,3),0),1,0))</f>
        <v>0</v>
      </c>
      <c r="AH64" s="54">
        <f t="shared" si="21"/>
        <v>0</v>
      </c>
      <c r="AI64" s="54">
        <v>1</v>
      </c>
    </row>
    <row r="65" spans="1:35" ht="12" customHeight="1" x14ac:dyDescent="0.2">
      <c r="A65" s="167">
        <f t="shared" ref="A65" si="36">A64</f>
        <v>0</v>
      </c>
      <c r="B65" s="151"/>
      <c r="C65" s="198"/>
      <c r="D65" s="187"/>
      <c r="E65" s="184"/>
      <c r="F65" s="187"/>
      <c r="G65" s="187"/>
      <c r="H65" s="52"/>
      <c r="I65" s="15"/>
      <c r="J65" s="115"/>
      <c r="K65" s="190"/>
      <c r="L65" s="116"/>
      <c r="M65" s="117"/>
      <c r="N65" s="205"/>
      <c r="O65" s="135"/>
      <c r="P65" s="19"/>
      <c r="Q65" s="50"/>
      <c r="R65" s="50"/>
      <c r="S65" s="50"/>
      <c r="T65" s="50"/>
      <c r="U65" s="50"/>
      <c r="V65" s="50"/>
      <c r="W65" s="19"/>
      <c r="Y65" s="53">
        <f>IF(OR(C$64&lt;&gt;0,E65&lt;&gt;0,J65&lt;&gt;0,K65&lt;&gt;0,M65&lt;&gt;0),1,0)</f>
        <v>0</v>
      </c>
      <c r="Z65" s="96">
        <v>0</v>
      </c>
      <c r="AA65" s="54">
        <f t="shared" si="17"/>
        <v>0</v>
      </c>
      <c r="AB65" s="96">
        <v>0</v>
      </c>
      <c r="AC65" s="54">
        <f t="shared" si="18"/>
        <v>0</v>
      </c>
      <c r="AD65" s="54">
        <f t="shared" si="19"/>
        <v>0</v>
      </c>
      <c r="AE65" s="54">
        <f t="shared" si="20"/>
        <v>0</v>
      </c>
      <c r="AF65" s="54">
        <f>IF(ISBLANK($I65),0,IF($J65&gt;VLOOKUP($I65,Meal_limits,IF($C$64&gt;Old_meal_rates_end_date,4,2),0),1,0))</f>
        <v>0</v>
      </c>
      <c r="AG65" s="54">
        <f>IF(ISBLANK($I65),0,IF($J65&gt;VLOOKUP($I65,Meal_limits,IF($C$64&gt;Old_meal_rates_end_date,5,3),0),1,0))</f>
        <v>0</v>
      </c>
      <c r="AH65" s="54">
        <f t="shared" si="21"/>
        <v>0</v>
      </c>
      <c r="AI65" s="54">
        <v>1</v>
      </c>
    </row>
    <row r="66" spans="1:35" ht="12" customHeight="1" x14ac:dyDescent="0.2">
      <c r="A66" s="168">
        <f t="shared" ref="A66" si="37">A64</f>
        <v>0</v>
      </c>
      <c r="B66" s="151"/>
      <c r="C66" s="199"/>
      <c r="D66" s="188"/>
      <c r="E66" s="185"/>
      <c r="F66" s="188"/>
      <c r="G66" s="188"/>
      <c r="H66" s="52"/>
      <c r="I66" s="144"/>
      <c r="J66" s="118"/>
      <c r="K66" s="191"/>
      <c r="L66" s="119"/>
      <c r="M66" s="120"/>
      <c r="N66" s="205"/>
      <c r="O66" s="135"/>
      <c r="P66" s="19"/>
      <c r="Q66" s="50"/>
      <c r="R66" s="50"/>
      <c r="S66" s="50"/>
      <c r="T66" s="50"/>
      <c r="U66" s="50"/>
      <c r="V66" s="50"/>
      <c r="W66" s="19"/>
      <c r="Y66" s="53">
        <f>IF(OR(C$64&lt;&gt;0,E66&lt;&gt;0,J66&lt;&gt;0,K66&lt;&gt;0,M66&lt;&gt;0),1,0)</f>
        <v>0</v>
      </c>
      <c r="Z66" s="96">
        <v>0</v>
      </c>
      <c r="AA66" s="54">
        <f t="shared" si="17"/>
        <v>0</v>
      </c>
      <c r="AB66" s="96">
        <v>0</v>
      </c>
      <c r="AC66" s="54">
        <f t="shared" si="18"/>
        <v>0</v>
      </c>
      <c r="AD66" s="54">
        <f t="shared" si="19"/>
        <v>0</v>
      </c>
      <c r="AE66" s="54">
        <f t="shared" si="20"/>
        <v>0</v>
      </c>
      <c r="AF66" s="54">
        <f>IF(ISBLANK($I66),0,IF($J66&gt;VLOOKUP($I66,Meal_limits,IF($C$64&gt;Old_meal_rates_end_date,4,2),0),1,0))</f>
        <v>0</v>
      </c>
      <c r="AG66" s="54">
        <f>IF(ISBLANK($I66),0,IF($J66&gt;VLOOKUP($I66,Meal_limits,IF($C$64&gt;Old_meal_rates_end_date,5,3),0),1,0))</f>
        <v>0</v>
      </c>
      <c r="AH66" s="54">
        <f t="shared" si="21"/>
        <v>0</v>
      </c>
      <c r="AI66" s="54">
        <v>1</v>
      </c>
    </row>
    <row r="67" spans="1:35" ht="12" customHeight="1" x14ac:dyDescent="0.2">
      <c r="A67" s="166">
        <f t="shared" si="8"/>
        <v>0</v>
      </c>
      <c r="B67" s="151">
        <v>20</v>
      </c>
      <c r="C67" s="197"/>
      <c r="D67" s="200"/>
      <c r="E67" s="183"/>
      <c r="F67" s="186"/>
      <c r="G67" s="186"/>
      <c r="H67" s="52"/>
      <c r="I67" s="17"/>
      <c r="J67" s="16"/>
      <c r="K67" s="189"/>
      <c r="L67" s="121"/>
      <c r="M67" s="114"/>
      <c r="N67" s="205"/>
      <c r="O67" s="135"/>
      <c r="P67" s="19"/>
      <c r="Q67" s="50"/>
      <c r="R67" s="50"/>
      <c r="S67" s="50"/>
      <c r="T67" s="50"/>
      <c r="U67" s="50"/>
      <c r="V67" s="50"/>
      <c r="W67" s="19"/>
      <c r="Y67" s="53">
        <f>IF(OR(C$67&lt;&gt;0,E67&lt;&gt;0,J67&lt;&gt;0,K67&lt;&gt;0,M67&lt;&gt;0),1,0)</f>
        <v>0</v>
      </c>
      <c r="Z67" s="54">
        <f>IF(AND($Y67&gt;0,C67=0),1,0)</f>
        <v>0</v>
      </c>
      <c r="AA67" s="54">
        <f t="shared" si="17"/>
        <v>0</v>
      </c>
      <c r="AB67" s="54">
        <f>IF(AND(Y67&gt;0,NOT(ISTEXT(D67))),1,0)</f>
        <v>0</v>
      </c>
      <c r="AC67" s="54">
        <f t="shared" si="18"/>
        <v>0</v>
      </c>
      <c r="AD67" s="54">
        <f t="shared" si="19"/>
        <v>0</v>
      </c>
      <c r="AE67" s="54">
        <f t="shared" si="20"/>
        <v>0</v>
      </c>
      <c r="AF67" s="54">
        <f>IF(ISBLANK($I67),0,IF($J67&gt;VLOOKUP($I67,Meal_limits,IF($C$67&gt;Old_meal_rates_end_date,4,2),0),1,0))</f>
        <v>0</v>
      </c>
      <c r="AG67" s="54">
        <f>IF(ISBLANK($I67),0,IF($J67&gt;VLOOKUP($I67,Meal_limits,IF($C$67&gt;Old_meal_rates_end_date,5,3),0),1,0))</f>
        <v>0</v>
      </c>
      <c r="AH67" s="54">
        <f t="shared" si="21"/>
        <v>0</v>
      </c>
      <c r="AI67" s="54">
        <v>1</v>
      </c>
    </row>
    <row r="68" spans="1:35" ht="12" customHeight="1" x14ac:dyDescent="0.2">
      <c r="A68" s="167">
        <f t="shared" ref="A68" si="38">A67</f>
        <v>0</v>
      </c>
      <c r="B68" s="151"/>
      <c r="C68" s="198"/>
      <c r="D68" s="187"/>
      <c r="E68" s="184"/>
      <c r="F68" s="187"/>
      <c r="G68" s="187"/>
      <c r="H68" s="52"/>
      <c r="I68" s="15"/>
      <c r="J68" s="115"/>
      <c r="K68" s="190"/>
      <c r="L68" s="116"/>
      <c r="M68" s="117"/>
      <c r="N68" s="205"/>
      <c r="O68" s="135"/>
      <c r="P68" s="19"/>
      <c r="Q68" s="50"/>
      <c r="R68" s="50"/>
      <c r="S68" s="50"/>
      <c r="T68" s="50"/>
      <c r="U68" s="50"/>
      <c r="V68" s="50"/>
      <c r="W68" s="19"/>
      <c r="Y68" s="53">
        <f>IF(OR(C$67&lt;&gt;0,E68&lt;&gt;0,J68&lt;&gt;0,K68&lt;&gt;0,M68&lt;&gt;0),1,0)</f>
        <v>0</v>
      </c>
      <c r="Z68" s="96">
        <v>0</v>
      </c>
      <c r="AA68" s="54">
        <f t="shared" si="17"/>
        <v>0</v>
      </c>
      <c r="AB68" s="96">
        <v>0</v>
      </c>
      <c r="AC68" s="54">
        <f t="shared" si="18"/>
        <v>0</v>
      </c>
      <c r="AD68" s="54">
        <f t="shared" si="19"/>
        <v>0</v>
      </c>
      <c r="AE68" s="54">
        <f t="shared" si="20"/>
        <v>0</v>
      </c>
      <c r="AF68" s="54">
        <f>IF(ISBLANK($I68),0,IF($J68&gt;VLOOKUP($I68,Meal_limits,IF($C$67&gt;Old_meal_rates_end_date,4,2),0),1,0))</f>
        <v>0</v>
      </c>
      <c r="AG68" s="54">
        <f>IF(ISBLANK($I68),0,IF($J68&gt;VLOOKUP($I68,Meal_limits,IF($C$67&gt;Old_meal_rates_end_date,5,3),0),1,0))</f>
        <v>0</v>
      </c>
      <c r="AH68" s="54">
        <f t="shared" si="21"/>
        <v>0</v>
      </c>
      <c r="AI68" s="54">
        <v>1</v>
      </c>
    </row>
    <row r="69" spans="1:35" ht="12" customHeight="1" x14ac:dyDescent="0.2">
      <c r="A69" s="168">
        <f t="shared" ref="A69" si="39">A67</f>
        <v>0</v>
      </c>
      <c r="B69" s="151"/>
      <c r="C69" s="199"/>
      <c r="D69" s="188"/>
      <c r="E69" s="185"/>
      <c r="F69" s="188"/>
      <c r="G69" s="188"/>
      <c r="H69" s="52"/>
      <c r="I69" s="144"/>
      <c r="J69" s="118"/>
      <c r="K69" s="191"/>
      <c r="L69" s="119"/>
      <c r="M69" s="120"/>
      <c r="N69" s="205"/>
      <c r="O69" s="135"/>
      <c r="P69" s="19"/>
      <c r="Q69" s="50"/>
      <c r="R69" s="50"/>
      <c r="S69" s="50"/>
      <c r="T69" s="50"/>
      <c r="U69" s="50"/>
      <c r="V69" s="50"/>
      <c r="W69" s="19"/>
      <c r="Y69" s="53">
        <f>IF(OR(C$67&lt;&gt;0,E69&lt;&gt;0,J69&lt;&gt;0,K69&lt;&gt;0,M69&lt;&gt;0),1,0)</f>
        <v>0</v>
      </c>
      <c r="Z69" s="96">
        <v>0</v>
      </c>
      <c r="AA69" s="54">
        <f t="shared" si="17"/>
        <v>0</v>
      </c>
      <c r="AB69" s="96">
        <v>0</v>
      </c>
      <c r="AC69" s="54">
        <f t="shared" si="18"/>
        <v>0</v>
      </c>
      <c r="AD69" s="54">
        <f t="shared" si="19"/>
        <v>0</v>
      </c>
      <c r="AE69" s="54">
        <f t="shared" si="20"/>
        <v>0</v>
      </c>
      <c r="AF69" s="54">
        <f>IF(ISBLANK($I69),0,IF($J69&gt;VLOOKUP($I69,Meal_limits,IF($C$67&gt;Old_meal_rates_end_date,4,2),0),1,0))</f>
        <v>0</v>
      </c>
      <c r="AG69" s="54">
        <f>IF(ISBLANK($I69),0,IF($J69&gt;VLOOKUP($I69,Meal_limits,IF($C$67&gt;Old_meal_rates_end_date,5,3),0),1,0))</f>
        <v>0</v>
      </c>
      <c r="AH69" s="54">
        <f t="shared" si="21"/>
        <v>0</v>
      </c>
      <c r="AI69" s="54">
        <v>1</v>
      </c>
    </row>
    <row r="70" spans="1:35" ht="12" customHeight="1" x14ac:dyDescent="0.2">
      <c r="A70" s="166">
        <f t="shared" si="8"/>
        <v>0</v>
      </c>
      <c r="B70" s="151">
        <v>21</v>
      </c>
      <c r="C70" s="197"/>
      <c r="D70" s="200"/>
      <c r="E70" s="183"/>
      <c r="F70" s="186"/>
      <c r="G70" s="186"/>
      <c r="H70" s="52"/>
      <c r="I70" s="17"/>
      <c r="J70" s="16"/>
      <c r="K70" s="189"/>
      <c r="L70" s="121"/>
      <c r="M70" s="114"/>
      <c r="N70" s="205"/>
      <c r="O70" s="135"/>
      <c r="P70" s="19"/>
      <c r="Q70" s="50"/>
      <c r="R70" s="50"/>
      <c r="S70" s="50"/>
      <c r="T70" s="50"/>
      <c r="U70" s="50"/>
      <c r="V70" s="50"/>
      <c r="W70" s="19"/>
      <c r="Y70" s="53">
        <f>IF(OR(C$70&lt;&gt;0,E70&lt;&gt;0,J70&lt;&gt;0,K70&lt;&gt;0,M70&lt;&gt;0),1,0)</f>
        <v>0</v>
      </c>
      <c r="Z70" s="54">
        <f>IF(AND($Y70&gt;0,C70=0),1,0)</f>
        <v>0</v>
      </c>
      <c r="AA70" s="54">
        <f t="shared" si="17"/>
        <v>0</v>
      </c>
      <c r="AB70" s="54">
        <f>IF(AND(Y70&gt;0,NOT(ISTEXT(D70))),1,0)</f>
        <v>0</v>
      </c>
      <c r="AC70" s="54">
        <f t="shared" si="18"/>
        <v>0</v>
      </c>
      <c r="AD70" s="54">
        <f t="shared" si="19"/>
        <v>0</v>
      </c>
      <c r="AE70" s="54">
        <f t="shared" si="20"/>
        <v>0</v>
      </c>
      <c r="AF70" s="54">
        <f>IF(ISBLANK($I70),0,IF($J70&gt;VLOOKUP($I70,Meal_limits,IF($C$70&gt;Old_meal_rates_end_date,4,2),0),1,0))</f>
        <v>0</v>
      </c>
      <c r="AG70" s="54">
        <f>IF(ISBLANK($I70),0,IF($J70&gt;VLOOKUP($I70,Meal_limits,IF($C$70&gt;Old_meal_rates_end_date,5,3),0),1,0))</f>
        <v>0</v>
      </c>
      <c r="AH70" s="54">
        <f t="shared" si="21"/>
        <v>0</v>
      </c>
      <c r="AI70" s="54">
        <v>1</v>
      </c>
    </row>
    <row r="71" spans="1:35" ht="12" customHeight="1" x14ac:dyDescent="0.2">
      <c r="A71" s="167">
        <f t="shared" ref="A71" si="40">A70</f>
        <v>0</v>
      </c>
      <c r="B71" s="151"/>
      <c r="C71" s="198"/>
      <c r="D71" s="187"/>
      <c r="E71" s="184"/>
      <c r="F71" s="187"/>
      <c r="G71" s="187"/>
      <c r="H71" s="52"/>
      <c r="I71" s="15"/>
      <c r="J71" s="115"/>
      <c r="K71" s="190"/>
      <c r="L71" s="116"/>
      <c r="M71" s="117"/>
      <c r="N71" s="205"/>
      <c r="O71" s="135"/>
      <c r="P71" s="19"/>
      <c r="Q71" s="50"/>
      <c r="R71" s="50"/>
      <c r="S71" s="50"/>
      <c r="T71" s="50"/>
      <c r="U71" s="50"/>
      <c r="V71" s="50"/>
      <c r="W71" s="19"/>
      <c r="Y71" s="53">
        <f>IF(OR(C$70&lt;&gt;0,E71&lt;&gt;0,J71&lt;&gt;0,K71&lt;&gt;0,M71&lt;&gt;0),1,0)</f>
        <v>0</v>
      </c>
      <c r="Z71" s="96">
        <v>0</v>
      </c>
      <c r="AA71" s="54">
        <f t="shared" si="17"/>
        <v>0</v>
      </c>
      <c r="AB71" s="96">
        <v>0</v>
      </c>
      <c r="AC71" s="54">
        <f t="shared" si="18"/>
        <v>0</v>
      </c>
      <c r="AD71" s="54">
        <f t="shared" si="19"/>
        <v>0</v>
      </c>
      <c r="AE71" s="54">
        <f t="shared" si="20"/>
        <v>0</v>
      </c>
      <c r="AF71" s="54">
        <f>IF(ISBLANK($I71),0,IF($J71&gt;VLOOKUP($I71,Meal_limits,IF($C$70&gt;Old_meal_rates_end_date,4,2),0),1,0))</f>
        <v>0</v>
      </c>
      <c r="AG71" s="54">
        <f>IF(ISBLANK($I71),0,IF($J71&gt;VLOOKUP($I71,Meal_limits,IF($C$70&gt;Old_meal_rates_end_date,5,3),0),1,0))</f>
        <v>0</v>
      </c>
      <c r="AH71" s="54">
        <f t="shared" si="21"/>
        <v>0</v>
      </c>
      <c r="AI71" s="54">
        <v>1</v>
      </c>
    </row>
    <row r="72" spans="1:35" ht="12" customHeight="1" x14ac:dyDescent="0.2">
      <c r="A72" s="168">
        <f t="shared" ref="A72" si="41">A70</f>
        <v>0</v>
      </c>
      <c r="B72" s="151"/>
      <c r="C72" s="199"/>
      <c r="D72" s="188"/>
      <c r="E72" s="185"/>
      <c r="F72" s="188"/>
      <c r="G72" s="188"/>
      <c r="H72" s="52"/>
      <c r="I72" s="144"/>
      <c r="J72" s="118"/>
      <c r="K72" s="191"/>
      <c r="L72" s="119"/>
      <c r="M72" s="120"/>
      <c r="N72" s="205"/>
      <c r="O72" s="135"/>
      <c r="P72" s="19"/>
      <c r="Q72" s="50"/>
      <c r="R72" s="50"/>
      <c r="S72" s="50"/>
      <c r="T72" s="50"/>
      <c r="U72" s="50"/>
      <c r="V72" s="50"/>
      <c r="W72" s="19"/>
      <c r="Y72" s="53">
        <f>IF(OR(C$70&lt;&gt;0,E72&lt;&gt;0,J72&lt;&gt;0,K72&lt;&gt;0,M72&lt;&gt;0),1,0)</f>
        <v>0</v>
      </c>
      <c r="Z72" s="96">
        <v>0</v>
      </c>
      <c r="AA72" s="54">
        <f t="shared" si="17"/>
        <v>0</v>
      </c>
      <c r="AB72" s="96">
        <v>0</v>
      </c>
      <c r="AC72" s="54">
        <f t="shared" si="18"/>
        <v>0</v>
      </c>
      <c r="AD72" s="54">
        <f t="shared" si="19"/>
        <v>0</v>
      </c>
      <c r="AE72" s="54">
        <f t="shared" si="20"/>
        <v>0</v>
      </c>
      <c r="AF72" s="54">
        <f>IF(ISBLANK($I72),0,IF($J72&gt;VLOOKUP($I72,Meal_limits,IF($C$70&gt;Old_meal_rates_end_date,4,2),0),1,0))</f>
        <v>0</v>
      </c>
      <c r="AG72" s="54">
        <f>IF(ISBLANK($I72),0,IF($J72&gt;VLOOKUP($I72,Meal_limits,IF($C$70&gt;Old_meal_rates_end_date,5,3),0),1,0))</f>
        <v>0</v>
      </c>
      <c r="AH72" s="54">
        <f t="shared" si="21"/>
        <v>0</v>
      </c>
      <c r="AI72" s="54">
        <v>1</v>
      </c>
    </row>
    <row r="73" spans="1:35" ht="12" customHeight="1" x14ac:dyDescent="0.2">
      <c r="A73" s="166">
        <f t="shared" si="8"/>
        <v>0</v>
      </c>
      <c r="B73" s="151">
        <v>22</v>
      </c>
      <c r="C73" s="197"/>
      <c r="D73" s="200"/>
      <c r="E73" s="183"/>
      <c r="F73" s="186"/>
      <c r="G73" s="186"/>
      <c r="H73" s="52"/>
      <c r="I73" s="17"/>
      <c r="J73" s="16"/>
      <c r="K73" s="189"/>
      <c r="L73" s="121"/>
      <c r="M73" s="114"/>
      <c r="N73" s="205"/>
      <c r="O73" s="135"/>
      <c r="P73" s="19"/>
      <c r="Q73" s="50"/>
      <c r="R73" s="50"/>
      <c r="S73" s="50"/>
      <c r="T73" s="50"/>
      <c r="U73" s="50"/>
      <c r="V73" s="50"/>
      <c r="W73" s="19"/>
      <c r="Y73" s="53">
        <f>IF(OR(C$73&lt;&gt;0,E73&lt;&gt;0,J73&lt;&gt;0,K73&lt;&gt;0,M73&lt;&gt;0),1,0)</f>
        <v>0</v>
      </c>
      <c r="Z73" s="54">
        <f>IF(AND($Y73&gt;0,C73=0),1,0)</f>
        <v>0</v>
      </c>
      <c r="AA73" s="54">
        <f t="shared" si="17"/>
        <v>0</v>
      </c>
      <c r="AB73" s="54">
        <f>IF(AND(Y73&gt;0,NOT(ISTEXT(D73))),1,0)</f>
        <v>0</v>
      </c>
      <c r="AC73" s="54">
        <f t="shared" si="18"/>
        <v>0</v>
      </c>
      <c r="AD73" s="54">
        <f t="shared" si="19"/>
        <v>0</v>
      </c>
      <c r="AE73" s="54">
        <f t="shared" si="20"/>
        <v>0</v>
      </c>
      <c r="AF73" s="54">
        <f>IF(ISBLANK($I73),0,IF($J73&gt;VLOOKUP($I73,Meal_limits,IF($C$73&gt;Old_meal_rates_end_date,4,2),0),1,0))</f>
        <v>0</v>
      </c>
      <c r="AG73" s="54">
        <f>IF(ISBLANK($I73),0,IF($J73&gt;VLOOKUP($I73,Meal_limits,IF($C$73&gt;Old_meal_rates_end_date,5,3),0),1,0))</f>
        <v>0</v>
      </c>
      <c r="AH73" s="54">
        <f t="shared" si="21"/>
        <v>0</v>
      </c>
      <c r="AI73" s="54">
        <v>1</v>
      </c>
    </row>
    <row r="74" spans="1:35" ht="12" customHeight="1" x14ac:dyDescent="0.2">
      <c r="A74" s="167">
        <f t="shared" ref="A74" si="42">A73</f>
        <v>0</v>
      </c>
      <c r="B74" s="151"/>
      <c r="C74" s="198"/>
      <c r="D74" s="187"/>
      <c r="E74" s="184"/>
      <c r="F74" s="187"/>
      <c r="G74" s="187"/>
      <c r="H74" s="52"/>
      <c r="I74" s="15"/>
      <c r="J74" s="115"/>
      <c r="K74" s="190"/>
      <c r="L74" s="116"/>
      <c r="M74" s="117"/>
      <c r="N74" s="205"/>
      <c r="O74" s="135"/>
      <c r="P74" s="19"/>
      <c r="Q74" s="50"/>
      <c r="R74" s="50"/>
      <c r="S74" s="50"/>
      <c r="T74" s="50"/>
      <c r="U74" s="50"/>
      <c r="V74" s="50"/>
      <c r="W74" s="19"/>
      <c r="Y74" s="53">
        <f>IF(OR(C$73&lt;&gt;0,E74&lt;&gt;0,J74&lt;&gt;0,K74&lt;&gt;0,M74&lt;&gt;0),1,0)</f>
        <v>0</v>
      </c>
      <c r="Z74" s="96">
        <v>0</v>
      </c>
      <c r="AA74" s="54">
        <f t="shared" ref="AA74:AA105" si="43">IF(C74&gt;0,IF(OR(C74&lt;Form_date_earliest,C74&gt;Form_date_latest),1,0),0)</f>
        <v>0</v>
      </c>
      <c r="AB74" s="96">
        <v>0</v>
      </c>
      <c r="AC74" s="54">
        <f t="shared" ref="AC74:AC105" si="44">IF(AND(J74&gt;0,NOT(ISTEXT(I74))),1,0)</f>
        <v>0</v>
      </c>
      <c r="AD74" s="54">
        <f t="shared" ref="AD74:AD105" si="45">IF(AND(M74&lt;&gt;0,NOT(ISTEXT(L74))),1,0)</f>
        <v>0</v>
      </c>
      <c r="AE74" s="54">
        <f t="shared" ref="AE74:AE105" si="46">IF(AND(E74&gt;0,OR(ISBLANK(F74),ISBLANK(G74))),1,0)</f>
        <v>0</v>
      </c>
      <c r="AF74" s="54">
        <f>IF(ISBLANK($I74),0,IF($J74&gt;VLOOKUP($I74,Meal_limits,IF($C$73&gt;Old_meal_rates_end_date,4,2),0),1,0))</f>
        <v>0</v>
      </c>
      <c r="AG74" s="54">
        <f>IF(ISBLANK($I74),0,IF($J74&gt;VLOOKUP($I74,Meal_limits,IF($C$73&gt;Old_meal_rates_end_date,5,3),0),1,0))</f>
        <v>0</v>
      </c>
      <c r="AH74" s="54">
        <f t="shared" ref="AH74:AH105" si="47">IF(AND(I74="Other",J74&lt;&gt;0),1,0)</f>
        <v>0</v>
      </c>
      <c r="AI74" s="54">
        <v>1</v>
      </c>
    </row>
    <row r="75" spans="1:35" ht="12" customHeight="1" x14ac:dyDescent="0.2">
      <c r="A75" s="168">
        <f t="shared" ref="A75" si="48">A73</f>
        <v>0</v>
      </c>
      <c r="B75" s="151"/>
      <c r="C75" s="199"/>
      <c r="D75" s="188"/>
      <c r="E75" s="185"/>
      <c r="F75" s="188"/>
      <c r="G75" s="188"/>
      <c r="H75" s="52"/>
      <c r="I75" s="144"/>
      <c r="J75" s="118"/>
      <c r="K75" s="191"/>
      <c r="L75" s="119"/>
      <c r="M75" s="120"/>
      <c r="N75" s="205"/>
      <c r="O75" s="135"/>
      <c r="P75" s="19"/>
      <c r="Q75" s="50"/>
      <c r="R75" s="50"/>
      <c r="S75" s="50"/>
      <c r="T75" s="50"/>
      <c r="U75" s="50"/>
      <c r="V75" s="50"/>
      <c r="W75" s="19"/>
      <c r="Y75" s="53">
        <f>IF(OR(C$73&lt;&gt;0,E75&lt;&gt;0,J75&lt;&gt;0,K75&lt;&gt;0,M75&lt;&gt;0),1,0)</f>
        <v>0</v>
      </c>
      <c r="Z75" s="96">
        <v>0</v>
      </c>
      <c r="AA75" s="54">
        <f t="shared" si="43"/>
        <v>0</v>
      </c>
      <c r="AB75" s="96">
        <v>0</v>
      </c>
      <c r="AC75" s="54">
        <f t="shared" si="44"/>
        <v>0</v>
      </c>
      <c r="AD75" s="54">
        <f t="shared" si="45"/>
        <v>0</v>
      </c>
      <c r="AE75" s="54">
        <f t="shared" si="46"/>
        <v>0</v>
      </c>
      <c r="AF75" s="54">
        <f>IF(ISBLANK($I75),0,IF($J75&gt;VLOOKUP($I75,Meal_limits,IF($C$73&gt;Old_meal_rates_end_date,4,2),0),1,0))</f>
        <v>0</v>
      </c>
      <c r="AG75" s="54">
        <f>IF(ISBLANK($I75),0,IF($J75&gt;VLOOKUP($I75,Meal_limits,IF($C$73&gt;Old_meal_rates_end_date,5,3),0),1,0))</f>
        <v>0</v>
      </c>
      <c r="AH75" s="54">
        <f t="shared" si="47"/>
        <v>0</v>
      </c>
      <c r="AI75" s="54">
        <v>1</v>
      </c>
    </row>
    <row r="76" spans="1:35" ht="12" customHeight="1" x14ac:dyDescent="0.2">
      <c r="A76" s="166">
        <f t="shared" si="8"/>
        <v>0</v>
      </c>
      <c r="B76" s="151">
        <v>23</v>
      </c>
      <c r="C76" s="197"/>
      <c r="D76" s="200"/>
      <c r="E76" s="183"/>
      <c r="F76" s="186"/>
      <c r="G76" s="186"/>
      <c r="H76" s="52"/>
      <c r="I76" s="17"/>
      <c r="J76" s="16"/>
      <c r="K76" s="189"/>
      <c r="L76" s="121"/>
      <c r="M76" s="114"/>
      <c r="N76" s="205"/>
      <c r="O76" s="135"/>
      <c r="P76" s="19"/>
      <c r="Q76" s="50"/>
      <c r="R76" s="50"/>
      <c r="S76" s="50"/>
      <c r="T76" s="50"/>
      <c r="U76" s="50"/>
      <c r="V76" s="50"/>
      <c r="W76" s="19"/>
      <c r="Y76" s="53">
        <f>IF(OR(C$76&lt;&gt;0,E76&lt;&gt;0,J76&lt;&gt;0,K76&lt;&gt;0,M76&lt;&gt;0),1,0)</f>
        <v>0</v>
      </c>
      <c r="Z76" s="54">
        <f>IF(AND($Y76&gt;0,C76=0),1,0)</f>
        <v>0</v>
      </c>
      <c r="AA76" s="54">
        <f t="shared" si="43"/>
        <v>0</v>
      </c>
      <c r="AB76" s="54">
        <f>IF(AND(Y76&gt;0,NOT(ISTEXT(D76))),1,0)</f>
        <v>0</v>
      </c>
      <c r="AC76" s="54">
        <f t="shared" si="44"/>
        <v>0</v>
      </c>
      <c r="AD76" s="54">
        <f t="shared" si="45"/>
        <v>0</v>
      </c>
      <c r="AE76" s="54">
        <f t="shared" si="46"/>
        <v>0</v>
      </c>
      <c r="AF76" s="54">
        <f>IF(ISBLANK($I76),0,IF($J76&gt;VLOOKUP($I76,Meal_limits,IF($C$76&gt;Old_meal_rates_end_date,4,2),0),1,0))</f>
        <v>0</v>
      </c>
      <c r="AG76" s="54">
        <f>IF(ISBLANK($I76),0,IF($J76&gt;VLOOKUP($I76,Meal_limits,IF($C$76&gt;Old_meal_rates_end_date,5,3),0),1,0))</f>
        <v>0</v>
      </c>
      <c r="AH76" s="54">
        <f t="shared" si="47"/>
        <v>0</v>
      </c>
      <c r="AI76" s="54">
        <v>1</v>
      </c>
    </row>
    <row r="77" spans="1:35" ht="12" customHeight="1" x14ac:dyDescent="0.2">
      <c r="A77" s="167">
        <f t="shared" ref="A77" si="49">A76</f>
        <v>0</v>
      </c>
      <c r="B77" s="151"/>
      <c r="C77" s="198"/>
      <c r="D77" s="187"/>
      <c r="E77" s="184"/>
      <c r="F77" s="187"/>
      <c r="G77" s="187"/>
      <c r="H77" s="52"/>
      <c r="I77" s="15"/>
      <c r="J77" s="115"/>
      <c r="K77" s="190"/>
      <c r="L77" s="116"/>
      <c r="M77" s="117"/>
      <c r="N77" s="205"/>
      <c r="O77" s="135"/>
      <c r="P77" s="19"/>
      <c r="Q77" s="50"/>
      <c r="R77" s="50"/>
      <c r="S77" s="50"/>
      <c r="T77" s="50"/>
      <c r="U77" s="50"/>
      <c r="V77" s="50"/>
      <c r="W77" s="19"/>
      <c r="Y77" s="53">
        <f>IF(OR(C$76&lt;&gt;0,E77&lt;&gt;0,J77&lt;&gt;0,K77&lt;&gt;0,M77&lt;&gt;0),1,0)</f>
        <v>0</v>
      </c>
      <c r="Z77" s="96">
        <v>0</v>
      </c>
      <c r="AA77" s="54">
        <f t="shared" si="43"/>
        <v>0</v>
      </c>
      <c r="AB77" s="96">
        <v>0</v>
      </c>
      <c r="AC77" s="54">
        <f t="shared" si="44"/>
        <v>0</v>
      </c>
      <c r="AD77" s="54">
        <f t="shared" si="45"/>
        <v>0</v>
      </c>
      <c r="AE77" s="54">
        <f t="shared" si="46"/>
        <v>0</v>
      </c>
      <c r="AF77" s="54">
        <f>IF(ISBLANK($I77),0,IF($J77&gt;VLOOKUP($I77,Meal_limits,IF($C$76&gt;Old_meal_rates_end_date,4,2),0),1,0))</f>
        <v>0</v>
      </c>
      <c r="AG77" s="54">
        <f>IF(ISBLANK($I77),0,IF($J77&gt;VLOOKUP($I77,Meal_limits,IF($C$76&gt;Old_meal_rates_end_date,5,3),0),1,0))</f>
        <v>0</v>
      </c>
      <c r="AH77" s="54">
        <f t="shared" si="47"/>
        <v>0</v>
      </c>
      <c r="AI77" s="54">
        <v>1</v>
      </c>
    </row>
    <row r="78" spans="1:35" ht="12" customHeight="1" x14ac:dyDescent="0.2">
      <c r="A78" s="168">
        <f t="shared" ref="A78" si="50">A76</f>
        <v>0</v>
      </c>
      <c r="B78" s="151"/>
      <c r="C78" s="199"/>
      <c r="D78" s="188"/>
      <c r="E78" s="185"/>
      <c r="F78" s="188"/>
      <c r="G78" s="188"/>
      <c r="H78" s="52"/>
      <c r="I78" s="144"/>
      <c r="J78" s="118"/>
      <c r="K78" s="191"/>
      <c r="L78" s="119"/>
      <c r="M78" s="120"/>
      <c r="N78" s="205"/>
      <c r="O78" s="135"/>
      <c r="P78" s="19"/>
      <c r="Q78" s="50"/>
      <c r="R78" s="50"/>
      <c r="S78" s="50"/>
      <c r="T78" s="50"/>
      <c r="U78" s="50"/>
      <c r="V78" s="50"/>
      <c r="W78" s="19"/>
      <c r="Y78" s="53">
        <f>IF(OR(C$76&lt;&gt;0,E78&lt;&gt;0,J78&lt;&gt;0,K78&lt;&gt;0,M78&lt;&gt;0),1,0)</f>
        <v>0</v>
      </c>
      <c r="Z78" s="96">
        <v>0</v>
      </c>
      <c r="AA78" s="54">
        <f t="shared" si="43"/>
        <v>0</v>
      </c>
      <c r="AB78" s="96">
        <v>0</v>
      </c>
      <c r="AC78" s="54">
        <f t="shared" si="44"/>
        <v>0</v>
      </c>
      <c r="AD78" s="54">
        <f t="shared" si="45"/>
        <v>0</v>
      </c>
      <c r="AE78" s="54">
        <f t="shared" si="46"/>
        <v>0</v>
      </c>
      <c r="AF78" s="54">
        <f>IF(ISBLANK($I78),0,IF($J78&gt;VLOOKUP($I78,Meal_limits,IF($C$76&gt;Old_meal_rates_end_date,4,2),0),1,0))</f>
        <v>0</v>
      </c>
      <c r="AG78" s="54">
        <f>IF(ISBLANK($I78),0,IF($J78&gt;VLOOKUP($I78,Meal_limits,IF($C$76&gt;Old_meal_rates_end_date,5,3),0),1,0))</f>
        <v>0</v>
      </c>
      <c r="AH78" s="54">
        <f t="shared" si="47"/>
        <v>0</v>
      </c>
      <c r="AI78" s="54">
        <v>1</v>
      </c>
    </row>
    <row r="79" spans="1:35" ht="12" customHeight="1" x14ac:dyDescent="0.2">
      <c r="A79" s="166">
        <f t="shared" si="8"/>
        <v>0</v>
      </c>
      <c r="B79" s="151">
        <v>24</v>
      </c>
      <c r="C79" s="197"/>
      <c r="D79" s="200"/>
      <c r="E79" s="183"/>
      <c r="F79" s="186"/>
      <c r="G79" s="186"/>
      <c r="H79" s="52"/>
      <c r="I79" s="17"/>
      <c r="J79" s="16"/>
      <c r="K79" s="189"/>
      <c r="L79" s="121"/>
      <c r="M79" s="114"/>
      <c r="N79" s="205"/>
      <c r="O79" s="135"/>
      <c r="P79" s="19"/>
      <c r="Q79" s="50"/>
      <c r="R79" s="50"/>
      <c r="S79" s="50"/>
      <c r="T79" s="50"/>
      <c r="U79" s="50"/>
      <c r="V79" s="50"/>
      <c r="W79" s="19"/>
      <c r="Y79" s="53">
        <f>IF(OR(C$79&lt;&gt;0,E79&lt;&gt;0,J79&lt;&gt;0,K79&lt;&gt;0,M79&lt;&gt;0),1,0)</f>
        <v>0</v>
      </c>
      <c r="Z79" s="54">
        <f>IF(AND($Y79&gt;0,C79=0),1,0)</f>
        <v>0</v>
      </c>
      <c r="AA79" s="54">
        <f t="shared" si="43"/>
        <v>0</v>
      </c>
      <c r="AB79" s="54">
        <f>IF(AND(Y79&gt;0,NOT(ISTEXT(D79))),1,0)</f>
        <v>0</v>
      </c>
      <c r="AC79" s="54">
        <f t="shared" si="44"/>
        <v>0</v>
      </c>
      <c r="AD79" s="54">
        <f t="shared" si="45"/>
        <v>0</v>
      </c>
      <c r="AE79" s="54">
        <f t="shared" si="46"/>
        <v>0</v>
      </c>
      <c r="AF79" s="54">
        <f>IF(ISBLANK($I79),0,IF($J79&gt;VLOOKUP($I79,Meal_limits,IF($C$79&gt;Old_meal_rates_end_date,4,2),0),1,0))</f>
        <v>0</v>
      </c>
      <c r="AG79" s="54">
        <f>IF(ISBLANK($I79),0,IF($J79&gt;VLOOKUP($I79,Meal_limits,IF($C$79&gt;Old_meal_rates_end_date,5,3),0),1,0))</f>
        <v>0</v>
      </c>
      <c r="AH79" s="54">
        <f t="shared" si="47"/>
        <v>0</v>
      </c>
      <c r="AI79" s="54">
        <v>1</v>
      </c>
    </row>
    <row r="80" spans="1:35" ht="12" customHeight="1" x14ac:dyDescent="0.2">
      <c r="A80" s="167">
        <f t="shared" ref="A80" si="51">A79</f>
        <v>0</v>
      </c>
      <c r="B80" s="151"/>
      <c r="C80" s="198"/>
      <c r="D80" s="187"/>
      <c r="E80" s="184"/>
      <c r="F80" s="187"/>
      <c r="G80" s="187"/>
      <c r="H80" s="52"/>
      <c r="I80" s="15"/>
      <c r="J80" s="115"/>
      <c r="K80" s="190"/>
      <c r="L80" s="116"/>
      <c r="M80" s="117"/>
      <c r="N80" s="205"/>
      <c r="O80" s="135"/>
      <c r="P80" s="19"/>
      <c r="Q80" s="50"/>
      <c r="R80" s="50"/>
      <c r="S80" s="50"/>
      <c r="T80" s="50"/>
      <c r="U80" s="50"/>
      <c r="V80" s="50"/>
      <c r="W80" s="19"/>
      <c r="Y80" s="53">
        <f>IF(OR(C$79&lt;&gt;0,E80&lt;&gt;0,J80&lt;&gt;0,K80&lt;&gt;0,M80&lt;&gt;0),1,0)</f>
        <v>0</v>
      </c>
      <c r="Z80" s="96">
        <v>0</v>
      </c>
      <c r="AA80" s="54">
        <f t="shared" si="43"/>
        <v>0</v>
      </c>
      <c r="AB80" s="96">
        <v>0</v>
      </c>
      <c r="AC80" s="54">
        <f t="shared" si="44"/>
        <v>0</v>
      </c>
      <c r="AD80" s="54">
        <f t="shared" si="45"/>
        <v>0</v>
      </c>
      <c r="AE80" s="54">
        <f t="shared" si="46"/>
        <v>0</v>
      </c>
      <c r="AF80" s="54">
        <f>IF(ISBLANK($I80),0,IF($J80&gt;VLOOKUP($I80,Meal_limits,IF($C$79&gt;Old_meal_rates_end_date,4,2),0),1,0))</f>
        <v>0</v>
      </c>
      <c r="AG80" s="54">
        <f>IF(ISBLANK($I80),0,IF($J80&gt;VLOOKUP($I80,Meal_limits,IF($C$79&gt;Old_meal_rates_end_date,5,3),0),1,0))</f>
        <v>0</v>
      </c>
      <c r="AH80" s="54">
        <f t="shared" si="47"/>
        <v>0</v>
      </c>
      <c r="AI80" s="54">
        <v>1</v>
      </c>
    </row>
    <row r="81" spans="1:35" ht="12" customHeight="1" x14ac:dyDescent="0.2">
      <c r="A81" s="168">
        <f t="shared" ref="A81" si="52">A79</f>
        <v>0</v>
      </c>
      <c r="B81" s="151"/>
      <c r="C81" s="199"/>
      <c r="D81" s="188"/>
      <c r="E81" s="185"/>
      <c r="F81" s="188"/>
      <c r="G81" s="188"/>
      <c r="H81" s="52"/>
      <c r="I81" s="144"/>
      <c r="J81" s="118"/>
      <c r="K81" s="191"/>
      <c r="L81" s="119"/>
      <c r="M81" s="120"/>
      <c r="N81" s="205"/>
      <c r="O81" s="135"/>
      <c r="P81" s="19"/>
      <c r="Q81" s="50"/>
      <c r="R81" s="50"/>
      <c r="S81" s="50"/>
      <c r="T81" s="50"/>
      <c r="U81" s="50"/>
      <c r="V81" s="50"/>
      <c r="W81" s="19"/>
      <c r="Y81" s="53">
        <f>IF(OR(C$79&lt;&gt;0,E81&lt;&gt;0,J81&lt;&gt;0,K81&lt;&gt;0,M81&lt;&gt;0),1,0)</f>
        <v>0</v>
      </c>
      <c r="Z81" s="96">
        <v>0</v>
      </c>
      <c r="AA81" s="54">
        <f t="shared" si="43"/>
        <v>0</v>
      </c>
      <c r="AB81" s="96">
        <v>0</v>
      </c>
      <c r="AC81" s="54">
        <f t="shared" si="44"/>
        <v>0</v>
      </c>
      <c r="AD81" s="54">
        <f t="shared" si="45"/>
        <v>0</v>
      </c>
      <c r="AE81" s="54">
        <f t="shared" si="46"/>
        <v>0</v>
      </c>
      <c r="AF81" s="54">
        <f>IF(ISBLANK($I81),0,IF($J81&gt;VLOOKUP($I81,Meal_limits,IF($C$79&gt;Old_meal_rates_end_date,4,2),0),1,0))</f>
        <v>0</v>
      </c>
      <c r="AG81" s="54">
        <f>IF(ISBLANK($I81),0,IF($J81&gt;VLOOKUP($I81,Meal_limits,IF($C$79&gt;Old_meal_rates_end_date,5,3),0),1,0))</f>
        <v>0</v>
      </c>
      <c r="AH81" s="54">
        <f t="shared" si="47"/>
        <v>0</v>
      </c>
      <c r="AI81" s="54">
        <v>1</v>
      </c>
    </row>
    <row r="82" spans="1:35" ht="12" customHeight="1" x14ac:dyDescent="0.2">
      <c r="A82" s="166">
        <f t="shared" si="8"/>
        <v>0</v>
      </c>
      <c r="B82" s="151">
        <v>25</v>
      </c>
      <c r="C82" s="197"/>
      <c r="D82" s="200"/>
      <c r="E82" s="183"/>
      <c r="F82" s="186"/>
      <c r="G82" s="186"/>
      <c r="H82" s="52"/>
      <c r="I82" s="17"/>
      <c r="J82" s="16"/>
      <c r="K82" s="189"/>
      <c r="L82" s="121"/>
      <c r="M82" s="114"/>
      <c r="N82" s="205"/>
      <c r="O82" s="135"/>
      <c r="P82" s="19"/>
      <c r="Q82" s="50"/>
      <c r="R82" s="50"/>
      <c r="S82" s="50"/>
      <c r="T82" s="50"/>
      <c r="U82" s="50"/>
      <c r="V82" s="50"/>
      <c r="W82" s="19"/>
      <c r="Y82" s="53">
        <f>IF(OR(C$82&lt;&gt;0,E82&lt;&gt;0,J82&lt;&gt;0,K82&lt;&gt;0,M82&lt;&gt;0),1,0)</f>
        <v>0</v>
      </c>
      <c r="Z82" s="54">
        <f>IF(AND($Y82&gt;0,C82=0),1,0)</f>
        <v>0</v>
      </c>
      <c r="AA82" s="54">
        <f t="shared" si="43"/>
        <v>0</v>
      </c>
      <c r="AB82" s="54">
        <f>IF(AND(Y82&gt;0,NOT(ISTEXT(D82))),1,0)</f>
        <v>0</v>
      </c>
      <c r="AC82" s="54">
        <f t="shared" si="44"/>
        <v>0</v>
      </c>
      <c r="AD82" s="54">
        <f t="shared" si="45"/>
        <v>0</v>
      </c>
      <c r="AE82" s="54">
        <f t="shared" si="46"/>
        <v>0</v>
      </c>
      <c r="AF82" s="54">
        <f>IF(ISBLANK($I82),0,IF($J82&gt;VLOOKUP($I82,Meal_limits,IF($C$82&gt;Old_meal_rates_end_date,4,2),0),1,0))</f>
        <v>0</v>
      </c>
      <c r="AG82" s="54">
        <f>IF(ISBLANK($I82),0,IF($J82&gt;VLOOKUP($I82,Meal_limits,IF($C$82&gt;Old_meal_rates_end_date,5,3),0),1,0))</f>
        <v>0</v>
      </c>
      <c r="AH82" s="54">
        <f t="shared" si="47"/>
        <v>0</v>
      </c>
      <c r="AI82" s="54">
        <v>1</v>
      </c>
    </row>
    <row r="83" spans="1:35" ht="12" customHeight="1" x14ac:dyDescent="0.2">
      <c r="A83" s="167">
        <f t="shared" ref="A83" si="53">A82</f>
        <v>0</v>
      </c>
      <c r="B83" s="151"/>
      <c r="C83" s="198"/>
      <c r="D83" s="187"/>
      <c r="E83" s="184"/>
      <c r="F83" s="187"/>
      <c r="G83" s="187"/>
      <c r="H83" s="52"/>
      <c r="I83" s="15"/>
      <c r="J83" s="115"/>
      <c r="K83" s="190"/>
      <c r="L83" s="116"/>
      <c r="M83" s="117"/>
      <c r="N83" s="205"/>
      <c r="O83" s="135"/>
      <c r="P83" s="19"/>
      <c r="Q83" s="50"/>
      <c r="R83" s="50"/>
      <c r="S83" s="50"/>
      <c r="T83" s="50"/>
      <c r="U83" s="50"/>
      <c r="V83" s="50"/>
      <c r="W83" s="19"/>
      <c r="Y83" s="53">
        <f>IF(OR(C$82&lt;&gt;0,E83&lt;&gt;0,J83&lt;&gt;0,K83&lt;&gt;0,M83&lt;&gt;0),1,0)</f>
        <v>0</v>
      </c>
      <c r="Z83" s="96">
        <v>0</v>
      </c>
      <c r="AA83" s="54">
        <f t="shared" si="43"/>
        <v>0</v>
      </c>
      <c r="AB83" s="96">
        <v>0</v>
      </c>
      <c r="AC83" s="54">
        <f t="shared" si="44"/>
        <v>0</v>
      </c>
      <c r="AD83" s="54">
        <f t="shared" si="45"/>
        <v>0</v>
      </c>
      <c r="AE83" s="54">
        <f t="shared" si="46"/>
        <v>0</v>
      </c>
      <c r="AF83" s="54">
        <f>IF(ISBLANK($I83),0,IF($J83&gt;VLOOKUP($I83,Meal_limits,IF($C$82&gt;Old_meal_rates_end_date,4,2),0),1,0))</f>
        <v>0</v>
      </c>
      <c r="AG83" s="54">
        <f>IF(ISBLANK($I83),0,IF($J83&gt;VLOOKUP($I83,Meal_limits,IF($C$82&gt;Old_meal_rates_end_date,5,3),0),1,0))</f>
        <v>0</v>
      </c>
      <c r="AH83" s="54">
        <f t="shared" si="47"/>
        <v>0</v>
      </c>
      <c r="AI83" s="54">
        <v>1</v>
      </c>
    </row>
    <row r="84" spans="1:35" ht="12" customHeight="1" x14ac:dyDescent="0.2">
      <c r="A84" s="168">
        <f t="shared" ref="A84" si="54">A82</f>
        <v>0</v>
      </c>
      <c r="B84" s="151"/>
      <c r="C84" s="199"/>
      <c r="D84" s="188"/>
      <c r="E84" s="185"/>
      <c r="F84" s="188"/>
      <c r="G84" s="188"/>
      <c r="H84" s="52"/>
      <c r="I84" s="144"/>
      <c r="J84" s="118"/>
      <c r="K84" s="191"/>
      <c r="L84" s="119"/>
      <c r="M84" s="120"/>
      <c r="N84" s="205"/>
      <c r="O84" s="135"/>
      <c r="P84" s="19"/>
      <c r="Q84" s="50"/>
      <c r="R84" s="50"/>
      <c r="S84" s="50"/>
      <c r="T84" s="50"/>
      <c r="U84" s="50"/>
      <c r="V84" s="50"/>
      <c r="W84" s="19"/>
      <c r="Y84" s="53">
        <f>IF(OR(C$82&lt;&gt;0,E84&lt;&gt;0,J84&lt;&gt;0,K84&lt;&gt;0,M84&lt;&gt;0),1,0)</f>
        <v>0</v>
      </c>
      <c r="Z84" s="96">
        <v>0</v>
      </c>
      <c r="AA84" s="54">
        <f t="shared" si="43"/>
        <v>0</v>
      </c>
      <c r="AB84" s="96">
        <v>0</v>
      </c>
      <c r="AC84" s="54">
        <f t="shared" si="44"/>
        <v>0</v>
      </c>
      <c r="AD84" s="54">
        <f t="shared" si="45"/>
        <v>0</v>
      </c>
      <c r="AE84" s="54">
        <f t="shared" si="46"/>
        <v>0</v>
      </c>
      <c r="AF84" s="54">
        <f>IF(ISBLANK($I84),0,IF($J84&gt;VLOOKUP($I84,Meal_limits,IF($C$82&gt;Old_meal_rates_end_date,4,2),0),1,0))</f>
        <v>0</v>
      </c>
      <c r="AG84" s="54">
        <f>IF(ISBLANK($I84),0,IF($J84&gt;VLOOKUP($I84,Meal_limits,IF($C$82&gt;Old_meal_rates_end_date,5,3),0),1,0))</f>
        <v>0</v>
      </c>
      <c r="AH84" s="54">
        <f t="shared" si="47"/>
        <v>0</v>
      </c>
      <c r="AI84" s="54">
        <v>1</v>
      </c>
    </row>
    <row r="85" spans="1:35" ht="12" customHeight="1" x14ac:dyDescent="0.2">
      <c r="A85" s="166">
        <f t="shared" si="8"/>
        <v>0</v>
      </c>
      <c r="B85" s="151">
        <v>26</v>
      </c>
      <c r="C85" s="197"/>
      <c r="D85" s="200"/>
      <c r="E85" s="183"/>
      <c r="F85" s="186"/>
      <c r="G85" s="186"/>
      <c r="H85" s="52"/>
      <c r="I85" s="17"/>
      <c r="J85" s="16"/>
      <c r="K85" s="189"/>
      <c r="L85" s="121"/>
      <c r="M85" s="114"/>
      <c r="N85" s="205"/>
      <c r="O85" s="135"/>
      <c r="P85" s="19"/>
      <c r="Q85" s="50"/>
      <c r="R85" s="50"/>
      <c r="S85" s="50"/>
      <c r="T85" s="50"/>
      <c r="U85" s="50"/>
      <c r="V85" s="50"/>
      <c r="W85" s="19"/>
      <c r="Y85" s="53">
        <f>IF(OR(C$85&lt;&gt;0,E85&lt;&gt;0,J85&lt;&gt;0,K85&lt;&gt;0,M85&lt;&gt;0),1,0)</f>
        <v>0</v>
      </c>
      <c r="Z85" s="54">
        <f>IF(AND($Y85&gt;0,C85=0),1,0)</f>
        <v>0</v>
      </c>
      <c r="AA85" s="54">
        <f t="shared" si="43"/>
        <v>0</v>
      </c>
      <c r="AB85" s="54">
        <f>IF(AND(Y85&gt;0,NOT(ISTEXT(D85))),1,0)</f>
        <v>0</v>
      </c>
      <c r="AC85" s="54">
        <f t="shared" si="44"/>
        <v>0</v>
      </c>
      <c r="AD85" s="54">
        <f t="shared" si="45"/>
        <v>0</v>
      </c>
      <c r="AE85" s="54">
        <f t="shared" si="46"/>
        <v>0</v>
      </c>
      <c r="AF85" s="54">
        <f>IF(ISBLANK($I85),0,IF($J85&gt;VLOOKUP($I85,Meal_limits,IF($C$85&gt;Old_meal_rates_end_date,4,2),0),1,0))</f>
        <v>0</v>
      </c>
      <c r="AG85" s="54">
        <f>IF(ISBLANK($I85),0,IF($J85&gt;VLOOKUP($I85,Meal_limits,IF($C$85&gt;Old_meal_rates_end_date,5,3),0),1,0))</f>
        <v>0</v>
      </c>
      <c r="AH85" s="54">
        <f t="shared" si="47"/>
        <v>0</v>
      </c>
      <c r="AI85" s="54">
        <v>1</v>
      </c>
    </row>
    <row r="86" spans="1:35" ht="12" customHeight="1" x14ac:dyDescent="0.2">
      <c r="A86" s="167">
        <f t="shared" ref="A86" si="55">A85</f>
        <v>0</v>
      </c>
      <c r="B86" s="151"/>
      <c r="C86" s="198"/>
      <c r="D86" s="187"/>
      <c r="E86" s="184"/>
      <c r="F86" s="187"/>
      <c r="G86" s="187"/>
      <c r="H86" s="52"/>
      <c r="I86" s="15"/>
      <c r="J86" s="115"/>
      <c r="K86" s="190"/>
      <c r="L86" s="116"/>
      <c r="M86" s="117"/>
      <c r="N86" s="205"/>
      <c r="O86" s="135"/>
      <c r="P86" s="19"/>
      <c r="Q86" s="50"/>
      <c r="R86" s="50"/>
      <c r="S86" s="50"/>
      <c r="T86" s="50"/>
      <c r="U86" s="50"/>
      <c r="V86" s="50"/>
      <c r="W86" s="19"/>
      <c r="Y86" s="53">
        <f>IF(OR(C$85&lt;&gt;0,E86&lt;&gt;0,J86&lt;&gt;0,K86&lt;&gt;0,M86&lt;&gt;0),1,0)</f>
        <v>0</v>
      </c>
      <c r="Z86" s="96">
        <v>0</v>
      </c>
      <c r="AA86" s="54">
        <f t="shared" si="43"/>
        <v>0</v>
      </c>
      <c r="AB86" s="96">
        <v>0</v>
      </c>
      <c r="AC86" s="54">
        <f t="shared" si="44"/>
        <v>0</v>
      </c>
      <c r="AD86" s="54">
        <f t="shared" si="45"/>
        <v>0</v>
      </c>
      <c r="AE86" s="54">
        <f t="shared" si="46"/>
        <v>0</v>
      </c>
      <c r="AF86" s="54">
        <f>IF(ISBLANK($I86),0,IF($J86&gt;VLOOKUP($I86,Meal_limits,IF($C$85&gt;Old_meal_rates_end_date,4,2),0),1,0))</f>
        <v>0</v>
      </c>
      <c r="AG86" s="54">
        <f>IF(ISBLANK($I86),0,IF($J86&gt;VLOOKUP($I86,Meal_limits,IF($C$85&gt;Old_meal_rates_end_date,5,3),0),1,0))</f>
        <v>0</v>
      </c>
      <c r="AH86" s="54">
        <f t="shared" si="47"/>
        <v>0</v>
      </c>
      <c r="AI86" s="54">
        <v>1</v>
      </c>
    </row>
    <row r="87" spans="1:35" ht="12" customHeight="1" x14ac:dyDescent="0.2">
      <c r="A87" s="168">
        <f t="shared" ref="A87" si="56">A85</f>
        <v>0</v>
      </c>
      <c r="B87" s="151"/>
      <c r="C87" s="199"/>
      <c r="D87" s="188"/>
      <c r="E87" s="185"/>
      <c r="F87" s="188"/>
      <c r="G87" s="188"/>
      <c r="H87" s="52"/>
      <c r="I87" s="144"/>
      <c r="J87" s="118"/>
      <c r="K87" s="191"/>
      <c r="L87" s="119"/>
      <c r="M87" s="120"/>
      <c r="N87" s="205"/>
      <c r="O87" s="135"/>
      <c r="P87" s="19"/>
      <c r="Q87" s="50"/>
      <c r="R87" s="50"/>
      <c r="S87" s="50"/>
      <c r="T87" s="50"/>
      <c r="U87" s="50"/>
      <c r="V87" s="50"/>
      <c r="W87" s="19"/>
      <c r="Y87" s="53">
        <f>IF(OR(C$85&lt;&gt;0,E87&lt;&gt;0,J87&lt;&gt;0,K87&lt;&gt;0,M87&lt;&gt;0),1,0)</f>
        <v>0</v>
      </c>
      <c r="Z87" s="96">
        <v>0</v>
      </c>
      <c r="AA87" s="54">
        <f t="shared" si="43"/>
        <v>0</v>
      </c>
      <c r="AB87" s="96">
        <v>0</v>
      </c>
      <c r="AC87" s="54">
        <f t="shared" si="44"/>
        <v>0</v>
      </c>
      <c r="AD87" s="54">
        <f t="shared" si="45"/>
        <v>0</v>
      </c>
      <c r="AE87" s="54">
        <f t="shared" si="46"/>
        <v>0</v>
      </c>
      <c r="AF87" s="54">
        <f>IF(ISBLANK($I87),0,IF($J87&gt;VLOOKUP($I87,Meal_limits,IF($C$85&gt;Old_meal_rates_end_date,4,2),0),1,0))</f>
        <v>0</v>
      </c>
      <c r="AG87" s="54">
        <f>IF(ISBLANK($I87),0,IF($J87&gt;VLOOKUP($I87,Meal_limits,IF($C$85&gt;Old_meal_rates_end_date,5,3),0),1,0))</f>
        <v>0</v>
      </c>
      <c r="AH87" s="54">
        <f t="shared" si="47"/>
        <v>0</v>
      </c>
      <c r="AI87" s="54">
        <v>1</v>
      </c>
    </row>
    <row r="88" spans="1:35" ht="12" customHeight="1" x14ac:dyDescent="0.2">
      <c r="A88" s="166">
        <f t="shared" si="8"/>
        <v>0</v>
      </c>
      <c r="B88" s="151">
        <v>27</v>
      </c>
      <c r="C88" s="197"/>
      <c r="D88" s="200"/>
      <c r="E88" s="183"/>
      <c r="F88" s="186"/>
      <c r="G88" s="186"/>
      <c r="H88" s="52"/>
      <c r="I88" s="17"/>
      <c r="J88" s="16"/>
      <c r="K88" s="189"/>
      <c r="L88" s="121"/>
      <c r="M88" s="114"/>
      <c r="N88" s="205"/>
      <c r="O88" s="135"/>
      <c r="P88" s="19"/>
      <c r="Q88" s="50"/>
      <c r="R88" s="50"/>
      <c r="S88" s="50"/>
      <c r="T88" s="50"/>
      <c r="U88" s="50"/>
      <c r="V88" s="50"/>
      <c r="W88" s="19"/>
      <c r="Y88" s="53">
        <f>IF(OR(C$88&lt;&gt;0,E88&lt;&gt;0,J88&lt;&gt;0,K88&lt;&gt;0,M88&lt;&gt;0),1,0)</f>
        <v>0</v>
      </c>
      <c r="Z88" s="54">
        <f>IF(AND($Y88&gt;0,C88=0),1,0)</f>
        <v>0</v>
      </c>
      <c r="AA88" s="54">
        <f t="shared" si="43"/>
        <v>0</v>
      </c>
      <c r="AB88" s="54">
        <f>IF(AND(Y88&gt;0,NOT(ISTEXT(D88))),1,0)</f>
        <v>0</v>
      </c>
      <c r="AC88" s="54">
        <f t="shared" si="44"/>
        <v>0</v>
      </c>
      <c r="AD88" s="54">
        <f t="shared" si="45"/>
        <v>0</v>
      </c>
      <c r="AE88" s="54">
        <f t="shared" si="46"/>
        <v>0</v>
      </c>
      <c r="AF88" s="54">
        <f>IF(ISBLANK($I88),0,IF($J88&gt;VLOOKUP($I88,Meal_limits,IF($C$88&gt;Old_meal_rates_end_date,4,2),0),1,0))</f>
        <v>0</v>
      </c>
      <c r="AG88" s="54">
        <f>IF(ISBLANK($I88),0,IF($J88&gt;VLOOKUP($I88,Meal_limits,IF($C$88&gt;Old_meal_rates_end_date,5,3),0),1,0))</f>
        <v>0</v>
      </c>
      <c r="AH88" s="54">
        <f t="shared" si="47"/>
        <v>0</v>
      </c>
      <c r="AI88" s="54">
        <v>1</v>
      </c>
    </row>
    <row r="89" spans="1:35" ht="12" customHeight="1" x14ac:dyDescent="0.2">
      <c r="A89" s="167">
        <f t="shared" ref="A89" si="57">A88</f>
        <v>0</v>
      </c>
      <c r="B89" s="151"/>
      <c r="C89" s="198"/>
      <c r="D89" s="187"/>
      <c r="E89" s="184"/>
      <c r="F89" s="187"/>
      <c r="G89" s="187"/>
      <c r="H89" s="52"/>
      <c r="I89" s="15"/>
      <c r="J89" s="115"/>
      <c r="K89" s="190"/>
      <c r="L89" s="116"/>
      <c r="M89" s="117"/>
      <c r="N89" s="205"/>
      <c r="O89" s="135"/>
      <c r="P89" s="19"/>
      <c r="Q89" s="50"/>
      <c r="R89" s="50"/>
      <c r="S89" s="50"/>
      <c r="T89" s="50"/>
      <c r="U89" s="50"/>
      <c r="V89" s="50"/>
      <c r="W89" s="19"/>
      <c r="Y89" s="53">
        <f>IF(OR(C$88&lt;&gt;0,E89&lt;&gt;0,J89&lt;&gt;0,K89&lt;&gt;0,M89&lt;&gt;0),1,0)</f>
        <v>0</v>
      </c>
      <c r="Z89" s="96">
        <v>0</v>
      </c>
      <c r="AA89" s="54">
        <f t="shared" si="43"/>
        <v>0</v>
      </c>
      <c r="AB89" s="96">
        <v>0</v>
      </c>
      <c r="AC89" s="54">
        <f t="shared" si="44"/>
        <v>0</v>
      </c>
      <c r="AD89" s="54">
        <f t="shared" si="45"/>
        <v>0</v>
      </c>
      <c r="AE89" s="54">
        <f t="shared" si="46"/>
        <v>0</v>
      </c>
      <c r="AF89" s="54">
        <f>IF(ISBLANK($I89),0,IF($J89&gt;VLOOKUP($I89,Meal_limits,IF($C$88&gt;Old_meal_rates_end_date,4,2),0),1,0))</f>
        <v>0</v>
      </c>
      <c r="AG89" s="54">
        <f>IF(ISBLANK($I89),0,IF($J89&gt;VLOOKUP($I89,Meal_limits,IF($C$88&gt;Old_meal_rates_end_date,5,3),0),1,0))</f>
        <v>0</v>
      </c>
      <c r="AH89" s="54">
        <f t="shared" si="47"/>
        <v>0</v>
      </c>
      <c r="AI89" s="54">
        <v>1</v>
      </c>
    </row>
    <row r="90" spans="1:35" ht="12" customHeight="1" x14ac:dyDescent="0.2">
      <c r="A90" s="168">
        <f t="shared" ref="A90" si="58">A88</f>
        <v>0</v>
      </c>
      <c r="B90" s="151"/>
      <c r="C90" s="199"/>
      <c r="D90" s="188"/>
      <c r="E90" s="185"/>
      <c r="F90" s="188"/>
      <c r="G90" s="188"/>
      <c r="H90" s="52"/>
      <c r="I90" s="144"/>
      <c r="J90" s="118"/>
      <c r="K90" s="191"/>
      <c r="L90" s="119"/>
      <c r="M90" s="120"/>
      <c r="N90" s="205"/>
      <c r="O90" s="135"/>
      <c r="P90" s="19"/>
      <c r="Q90" s="50"/>
      <c r="R90" s="50"/>
      <c r="S90" s="50"/>
      <c r="T90" s="50"/>
      <c r="U90" s="50"/>
      <c r="V90" s="50"/>
      <c r="W90" s="19"/>
      <c r="Y90" s="53">
        <f>IF(OR(C$88&lt;&gt;0,E90&lt;&gt;0,J90&lt;&gt;0,K90&lt;&gt;0,M90&lt;&gt;0),1,0)</f>
        <v>0</v>
      </c>
      <c r="Z90" s="96">
        <v>0</v>
      </c>
      <c r="AA90" s="54">
        <f t="shared" si="43"/>
        <v>0</v>
      </c>
      <c r="AB90" s="96">
        <v>0</v>
      </c>
      <c r="AC90" s="54">
        <f t="shared" si="44"/>
        <v>0</v>
      </c>
      <c r="AD90" s="54">
        <f t="shared" si="45"/>
        <v>0</v>
      </c>
      <c r="AE90" s="54">
        <f t="shared" si="46"/>
        <v>0</v>
      </c>
      <c r="AF90" s="54">
        <f>IF(ISBLANK($I90),0,IF($J90&gt;VLOOKUP($I90,Meal_limits,IF($C$88&gt;Old_meal_rates_end_date,4,2),0),1,0))</f>
        <v>0</v>
      </c>
      <c r="AG90" s="54">
        <f>IF(ISBLANK($I90),0,IF($J90&gt;VLOOKUP($I90,Meal_limits,IF($C$88&gt;Old_meal_rates_end_date,5,3),0),1,0))</f>
        <v>0</v>
      </c>
      <c r="AH90" s="54">
        <f t="shared" si="47"/>
        <v>0</v>
      </c>
      <c r="AI90" s="54">
        <v>1</v>
      </c>
    </row>
    <row r="91" spans="1:35" ht="12" customHeight="1" x14ac:dyDescent="0.2">
      <c r="A91" s="166">
        <f t="shared" si="8"/>
        <v>0</v>
      </c>
      <c r="B91" s="151">
        <v>28</v>
      </c>
      <c r="C91" s="197"/>
      <c r="D91" s="200"/>
      <c r="E91" s="183"/>
      <c r="F91" s="186"/>
      <c r="G91" s="186"/>
      <c r="H91" s="52"/>
      <c r="I91" s="17"/>
      <c r="J91" s="16"/>
      <c r="K91" s="189"/>
      <c r="L91" s="121"/>
      <c r="M91" s="114"/>
      <c r="N91" s="205"/>
      <c r="O91" s="135"/>
      <c r="P91" s="19"/>
      <c r="Q91" s="50"/>
      <c r="R91" s="50"/>
      <c r="S91" s="50"/>
      <c r="T91" s="50"/>
      <c r="U91" s="50"/>
      <c r="V91" s="50"/>
      <c r="W91" s="19"/>
      <c r="Y91" s="53">
        <f>IF(OR(C$91&lt;&gt;0,E91&lt;&gt;0,J91&lt;&gt;0,K91&lt;&gt;0,M91&lt;&gt;0),1,0)</f>
        <v>0</v>
      </c>
      <c r="Z91" s="54">
        <f>IF(AND($Y91&gt;0,C91=0),1,0)</f>
        <v>0</v>
      </c>
      <c r="AA91" s="54">
        <f t="shared" si="43"/>
        <v>0</v>
      </c>
      <c r="AB91" s="54">
        <f>IF(AND(Y91&gt;0,NOT(ISTEXT(D91))),1,0)</f>
        <v>0</v>
      </c>
      <c r="AC91" s="54">
        <f t="shared" si="44"/>
        <v>0</v>
      </c>
      <c r="AD91" s="54">
        <f t="shared" si="45"/>
        <v>0</v>
      </c>
      <c r="AE91" s="54">
        <f t="shared" si="46"/>
        <v>0</v>
      </c>
      <c r="AF91" s="54">
        <f>IF(ISBLANK($I91),0,IF($J91&gt;VLOOKUP($I91,Meal_limits,IF($C$91&gt;Old_meal_rates_end_date,4,2),0),1,0))</f>
        <v>0</v>
      </c>
      <c r="AG91" s="54">
        <f>IF(ISBLANK($I91),0,IF($J91&gt;VLOOKUP($I91,Meal_limits,IF($C$91&gt;Old_meal_rates_end_date,5,3),0),1,0))</f>
        <v>0</v>
      </c>
      <c r="AH91" s="54">
        <f t="shared" si="47"/>
        <v>0</v>
      </c>
      <c r="AI91" s="54">
        <v>1</v>
      </c>
    </row>
    <row r="92" spans="1:35" ht="12" customHeight="1" x14ac:dyDescent="0.2">
      <c r="A92" s="167">
        <f t="shared" ref="A92" si="59">A91</f>
        <v>0</v>
      </c>
      <c r="B92" s="151"/>
      <c r="C92" s="198"/>
      <c r="D92" s="187"/>
      <c r="E92" s="184"/>
      <c r="F92" s="187"/>
      <c r="G92" s="187"/>
      <c r="H92" s="52"/>
      <c r="I92" s="15"/>
      <c r="J92" s="115"/>
      <c r="K92" s="190"/>
      <c r="L92" s="116"/>
      <c r="M92" s="117"/>
      <c r="N92" s="205"/>
      <c r="O92" s="135"/>
      <c r="P92" s="19"/>
      <c r="Q92" s="50"/>
      <c r="R92" s="50"/>
      <c r="S92" s="50"/>
      <c r="T92" s="50"/>
      <c r="U92" s="50"/>
      <c r="V92" s="50"/>
      <c r="W92" s="19"/>
      <c r="Y92" s="53">
        <f>IF(OR(C$91&lt;&gt;0,E92&lt;&gt;0,J92&lt;&gt;0,K92&lt;&gt;0,M92&lt;&gt;0),1,0)</f>
        <v>0</v>
      </c>
      <c r="Z92" s="96">
        <v>0</v>
      </c>
      <c r="AA92" s="54">
        <f t="shared" si="43"/>
        <v>0</v>
      </c>
      <c r="AB92" s="96">
        <v>0</v>
      </c>
      <c r="AC92" s="54">
        <f t="shared" si="44"/>
        <v>0</v>
      </c>
      <c r="AD92" s="54">
        <f t="shared" si="45"/>
        <v>0</v>
      </c>
      <c r="AE92" s="54">
        <f t="shared" si="46"/>
        <v>0</v>
      </c>
      <c r="AF92" s="54">
        <f>IF(ISBLANK($I92),0,IF($J92&gt;VLOOKUP($I92,Meal_limits,IF($C$91&gt;Old_meal_rates_end_date,4,2),0),1,0))</f>
        <v>0</v>
      </c>
      <c r="AG92" s="54">
        <f>IF(ISBLANK($I92),0,IF($J92&gt;VLOOKUP($I92,Meal_limits,IF($C$91&gt;Old_meal_rates_end_date,5,3),0),1,0))</f>
        <v>0</v>
      </c>
      <c r="AH92" s="54">
        <f t="shared" si="47"/>
        <v>0</v>
      </c>
      <c r="AI92" s="54">
        <v>1</v>
      </c>
    </row>
    <row r="93" spans="1:35" ht="12" customHeight="1" x14ac:dyDescent="0.2">
      <c r="A93" s="168">
        <f t="shared" ref="A93" si="60">A91</f>
        <v>0</v>
      </c>
      <c r="B93" s="151"/>
      <c r="C93" s="199"/>
      <c r="D93" s="188"/>
      <c r="E93" s="185"/>
      <c r="F93" s="188"/>
      <c r="G93" s="188"/>
      <c r="H93" s="52"/>
      <c r="I93" s="144"/>
      <c r="J93" s="118"/>
      <c r="K93" s="191"/>
      <c r="L93" s="119"/>
      <c r="M93" s="120"/>
      <c r="N93" s="205"/>
      <c r="O93" s="135"/>
      <c r="P93" s="19"/>
      <c r="Q93" s="50"/>
      <c r="R93" s="50"/>
      <c r="S93" s="50"/>
      <c r="T93" s="50"/>
      <c r="U93" s="50"/>
      <c r="V93" s="50"/>
      <c r="W93" s="19"/>
      <c r="Y93" s="53">
        <f>IF(OR(C$91&lt;&gt;0,E93&lt;&gt;0,J93&lt;&gt;0,K93&lt;&gt;0,M93&lt;&gt;0),1,0)</f>
        <v>0</v>
      </c>
      <c r="Z93" s="96">
        <v>0</v>
      </c>
      <c r="AA93" s="54">
        <f t="shared" si="43"/>
        <v>0</v>
      </c>
      <c r="AB93" s="96">
        <v>0</v>
      </c>
      <c r="AC93" s="54">
        <f t="shared" si="44"/>
        <v>0</v>
      </c>
      <c r="AD93" s="54">
        <f t="shared" si="45"/>
        <v>0</v>
      </c>
      <c r="AE93" s="54">
        <f t="shared" si="46"/>
        <v>0</v>
      </c>
      <c r="AF93" s="54">
        <f>IF(ISBLANK($I93),0,IF($J93&gt;VLOOKUP($I93,Meal_limits,IF($C$91&gt;Old_meal_rates_end_date,4,2),0),1,0))</f>
        <v>0</v>
      </c>
      <c r="AG93" s="54">
        <f>IF(ISBLANK($I93),0,IF($J93&gt;VLOOKUP($I93,Meal_limits,IF($C$91&gt;Old_meal_rates_end_date,5,3),0),1,0))</f>
        <v>0</v>
      </c>
      <c r="AH93" s="54">
        <f t="shared" si="47"/>
        <v>0</v>
      </c>
      <c r="AI93" s="54">
        <v>1</v>
      </c>
    </row>
    <row r="94" spans="1:35" ht="12" customHeight="1" x14ac:dyDescent="0.2">
      <c r="A94" s="166">
        <f t="shared" si="8"/>
        <v>0</v>
      </c>
      <c r="B94" s="151">
        <v>29</v>
      </c>
      <c r="C94" s="197"/>
      <c r="D94" s="200"/>
      <c r="E94" s="183"/>
      <c r="F94" s="186"/>
      <c r="G94" s="186"/>
      <c r="H94" s="52"/>
      <c r="I94" s="17"/>
      <c r="J94" s="16"/>
      <c r="K94" s="189"/>
      <c r="L94" s="121"/>
      <c r="M94" s="114"/>
      <c r="N94" s="205"/>
      <c r="O94" s="135"/>
      <c r="P94" s="19"/>
      <c r="Q94" s="50"/>
      <c r="R94" s="50"/>
      <c r="S94" s="50"/>
      <c r="T94" s="50"/>
      <c r="U94" s="50"/>
      <c r="V94" s="50"/>
      <c r="W94" s="19"/>
      <c r="Y94" s="53">
        <f>IF(OR(C$94&lt;&gt;0,E94&lt;&gt;0,J94&lt;&gt;0,K94&lt;&gt;0,M94&lt;&gt;0),1,0)</f>
        <v>0</v>
      </c>
      <c r="Z94" s="54">
        <f>IF(AND($Y94&gt;0,C94=0),1,0)</f>
        <v>0</v>
      </c>
      <c r="AA94" s="54">
        <f t="shared" si="43"/>
        <v>0</v>
      </c>
      <c r="AB94" s="54">
        <f>IF(AND(Y94&gt;0,NOT(ISTEXT(D94))),1,0)</f>
        <v>0</v>
      </c>
      <c r="AC94" s="54">
        <f t="shared" si="44"/>
        <v>0</v>
      </c>
      <c r="AD94" s="54">
        <f t="shared" si="45"/>
        <v>0</v>
      </c>
      <c r="AE94" s="54">
        <f t="shared" si="46"/>
        <v>0</v>
      </c>
      <c r="AF94" s="54">
        <f>IF(ISBLANK($I94),0,IF($J94&gt;VLOOKUP($I94,Meal_limits,IF($C$94&gt;Old_meal_rates_end_date,4,2),0),1,0))</f>
        <v>0</v>
      </c>
      <c r="AG94" s="54">
        <f>IF(ISBLANK($I94),0,IF($J94&gt;VLOOKUP($I94,Meal_limits,IF($C$94&gt;Old_meal_rates_end_date,5,3),0),1,0))</f>
        <v>0</v>
      </c>
      <c r="AH94" s="54">
        <f t="shared" si="47"/>
        <v>0</v>
      </c>
      <c r="AI94" s="54">
        <v>1</v>
      </c>
    </row>
    <row r="95" spans="1:35" ht="12" customHeight="1" x14ac:dyDescent="0.2">
      <c r="A95" s="167">
        <f t="shared" ref="A95" si="61">A94</f>
        <v>0</v>
      </c>
      <c r="B95" s="151"/>
      <c r="C95" s="198"/>
      <c r="D95" s="187"/>
      <c r="E95" s="184"/>
      <c r="F95" s="187"/>
      <c r="G95" s="187"/>
      <c r="H95" s="52"/>
      <c r="I95" s="15"/>
      <c r="J95" s="115"/>
      <c r="K95" s="190"/>
      <c r="L95" s="116"/>
      <c r="M95" s="117"/>
      <c r="N95" s="205"/>
      <c r="O95" s="135"/>
      <c r="P95" s="19"/>
      <c r="Q95" s="50"/>
      <c r="R95" s="50"/>
      <c r="S95" s="50"/>
      <c r="T95" s="50"/>
      <c r="U95" s="50"/>
      <c r="V95" s="50"/>
      <c r="W95" s="19"/>
      <c r="Y95" s="53">
        <f>IF(OR(C$94&lt;&gt;0,E95&lt;&gt;0,J95&lt;&gt;0,K95&lt;&gt;0,M95&lt;&gt;0),1,0)</f>
        <v>0</v>
      </c>
      <c r="Z95" s="96">
        <v>0</v>
      </c>
      <c r="AA95" s="54">
        <f t="shared" si="43"/>
        <v>0</v>
      </c>
      <c r="AB95" s="96">
        <v>0</v>
      </c>
      <c r="AC95" s="54">
        <f t="shared" si="44"/>
        <v>0</v>
      </c>
      <c r="AD95" s="54">
        <f t="shared" si="45"/>
        <v>0</v>
      </c>
      <c r="AE95" s="54">
        <f t="shared" si="46"/>
        <v>0</v>
      </c>
      <c r="AF95" s="54">
        <f>IF(ISBLANK($I95),0,IF($J95&gt;VLOOKUP($I95,Meal_limits,IF($C$94&gt;Old_meal_rates_end_date,4,2),0),1,0))</f>
        <v>0</v>
      </c>
      <c r="AG95" s="54">
        <f>IF(ISBLANK($I95),0,IF($J95&gt;VLOOKUP($I95,Meal_limits,IF($C$94&gt;Old_meal_rates_end_date,5,3),0),1,0))</f>
        <v>0</v>
      </c>
      <c r="AH95" s="54">
        <f t="shared" si="47"/>
        <v>0</v>
      </c>
      <c r="AI95" s="54">
        <v>1</v>
      </c>
    </row>
    <row r="96" spans="1:35" ht="12" customHeight="1" x14ac:dyDescent="0.2">
      <c r="A96" s="168">
        <f t="shared" ref="A96" si="62">A94</f>
        <v>0</v>
      </c>
      <c r="B96" s="151"/>
      <c r="C96" s="199"/>
      <c r="D96" s="188"/>
      <c r="E96" s="185"/>
      <c r="F96" s="188"/>
      <c r="G96" s="188"/>
      <c r="H96" s="52"/>
      <c r="I96" s="144"/>
      <c r="J96" s="118"/>
      <c r="K96" s="191"/>
      <c r="L96" s="119"/>
      <c r="M96" s="120"/>
      <c r="N96" s="205"/>
      <c r="O96" s="135"/>
      <c r="P96" s="19"/>
      <c r="Q96" s="50"/>
      <c r="R96" s="50"/>
      <c r="S96" s="50"/>
      <c r="T96" s="50"/>
      <c r="U96" s="50"/>
      <c r="V96" s="50"/>
      <c r="W96" s="19"/>
      <c r="Y96" s="53">
        <f>IF(OR(C$94&lt;&gt;0,E96&lt;&gt;0,J96&lt;&gt;0,K96&lt;&gt;0,M96&lt;&gt;0),1,0)</f>
        <v>0</v>
      </c>
      <c r="Z96" s="96">
        <v>0</v>
      </c>
      <c r="AA96" s="54">
        <f t="shared" si="43"/>
        <v>0</v>
      </c>
      <c r="AB96" s="96">
        <v>0</v>
      </c>
      <c r="AC96" s="54">
        <f t="shared" si="44"/>
        <v>0</v>
      </c>
      <c r="AD96" s="54">
        <f t="shared" si="45"/>
        <v>0</v>
      </c>
      <c r="AE96" s="54">
        <f t="shared" si="46"/>
        <v>0</v>
      </c>
      <c r="AF96" s="54">
        <f>IF(ISBLANK($I96),0,IF($J96&gt;VLOOKUP($I96,Meal_limits,IF($C$94&gt;Old_meal_rates_end_date,4,2),0),1,0))</f>
        <v>0</v>
      </c>
      <c r="AG96" s="54">
        <f>IF(ISBLANK($I96),0,IF($J96&gt;VLOOKUP($I96,Meal_limits,IF($C$94&gt;Old_meal_rates_end_date,5,3),0),1,0))</f>
        <v>0</v>
      </c>
      <c r="AH96" s="54">
        <f t="shared" si="47"/>
        <v>0</v>
      </c>
      <c r="AI96" s="54">
        <v>1</v>
      </c>
    </row>
    <row r="97" spans="1:35" ht="12" customHeight="1" x14ac:dyDescent="0.2">
      <c r="A97" s="166">
        <f t="shared" ref="A97:A139" si="63">IF(ISBLANK(C97),0,1)</f>
        <v>0</v>
      </c>
      <c r="B97" s="151">
        <v>30</v>
      </c>
      <c r="C97" s="197"/>
      <c r="D97" s="200"/>
      <c r="E97" s="183"/>
      <c r="F97" s="186"/>
      <c r="G97" s="186"/>
      <c r="H97" s="52"/>
      <c r="I97" s="17"/>
      <c r="J97" s="16"/>
      <c r="K97" s="189"/>
      <c r="L97" s="121"/>
      <c r="M97" s="114"/>
      <c r="N97" s="205"/>
      <c r="O97" s="135"/>
      <c r="P97" s="19"/>
      <c r="Q97" s="50"/>
      <c r="R97" s="50"/>
      <c r="S97" s="50"/>
      <c r="T97" s="50"/>
      <c r="U97" s="50"/>
      <c r="V97" s="50"/>
      <c r="W97" s="19"/>
      <c r="Y97" s="53">
        <f>IF(OR(C$97&lt;&gt;0,E97&lt;&gt;0,J97&lt;&gt;0,K97&lt;&gt;0,M97&lt;&gt;0),1,0)</f>
        <v>0</v>
      </c>
      <c r="Z97" s="54">
        <f>IF(AND($Y97&gt;0,C97=0),1,0)</f>
        <v>0</v>
      </c>
      <c r="AA97" s="54">
        <f t="shared" si="43"/>
        <v>0</v>
      </c>
      <c r="AB97" s="54">
        <f>IF(AND(Y97&gt;0,NOT(ISTEXT(D97))),1,0)</f>
        <v>0</v>
      </c>
      <c r="AC97" s="54">
        <f t="shared" si="44"/>
        <v>0</v>
      </c>
      <c r="AD97" s="54">
        <f t="shared" si="45"/>
        <v>0</v>
      </c>
      <c r="AE97" s="54">
        <f t="shared" si="46"/>
        <v>0</v>
      </c>
      <c r="AF97" s="54">
        <f>IF(ISBLANK($I97),0,IF($J97&gt;VLOOKUP($I97,Meal_limits,IF($C$97&gt;Old_meal_rates_end_date,4,2),0),1,0))</f>
        <v>0</v>
      </c>
      <c r="AG97" s="54">
        <f>IF(ISBLANK($I97),0,IF($J97&gt;VLOOKUP($I97,Meal_limits,IF($C$97&gt;Old_meal_rates_end_date,5,3),0),1,0))</f>
        <v>0</v>
      </c>
      <c r="AH97" s="54">
        <f t="shared" si="47"/>
        <v>0</v>
      </c>
      <c r="AI97" s="54">
        <v>1</v>
      </c>
    </row>
    <row r="98" spans="1:35" ht="12" customHeight="1" x14ac:dyDescent="0.2">
      <c r="A98" s="167">
        <f t="shared" ref="A98" si="64">A97</f>
        <v>0</v>
      </c>
      <c r="B98" s="151"/>
      <c r="C98" s="198"/>
      <c r="D98" s="187"/>
      <c r="E98" s="184"/>
      <c r="F98" s="187"/>
      <c r="G98" s="187"/>
      <c r="H98" s="52"/>
      <c r="I98" s="15"/>
      <c r="J98" s="115"/>
      <c r="K98" s="190"/>
      <c r="L98" s="116"/>
      <c r="M98" s="117"/>
      <c r="N98" s="205"/>
      <c r="O98" s="135"/>
      <c r="P98" s="19"/>
      <c r="Q98" s="50"/>
      <c r="R98" s="50"/>
      <c r="S98" s="50"/>
      <c r="T98" s="50"/>
      <c r="U98" s="50"/>
      <c r="V98" s="50"/>
      <c r="W98" s="19"/>
      <c r="Y98" s="53">
        <f>IF(OR(C$97&lt;&gt;0,E98&lt;&gt;0,J98&lt;&gt;0,K98&lt;&gt;0,M98&lt;&gt;0),1,0)</f>
        <v>0</v>
      </c>
      <c r="Z98" s="96">
        <v>0</v>
      </c>
      <c r="AA98" s="54">
        <f t="shared" si="43"/>
        <v>0</v>
      </c>
      <c r="AB98" s="96">
        <v>0</v>
      </c>
      <c r="AC98" s="54">
        <f t="shared" si="44"/>
        <v>0</v>
      </c>
      <c r="AD98" s="54">
        <f t="shared" si="45"/>
        <v>0</v>
      </c>
      <c r="AE98" s="54">
        <f t="shared" si="46"/>
        <v>0</v>
      </c>
      <c r="AF98" s="54">
        <f>IF(ISBLANK($I98),0,IF($J98&gt;VLOOKUP($I98,Meal_limits,IF($C$97&gt;Old_meal_rates_end_date,4,2),0),1,0))</f>
        <v>0</v>
      </c>
      <c r="AG98" s="54">
        <f>IF(ISBLANK($I98),0,IF($J98&gt;VLOOKUP($I98,Meal_limits,IF($C$97&gt;Old_meal_rates_end_date,5,3),0),1,0))</f>
        <v>0</v>
      </c>
      <c r="AH98" s="54">
        <f t="shared" si="47"/>
        <v>0</v>
      </c>
      <c r="AI98" s="54">
        <v>1</v>
      </c>
    </row>
    <row r="99" spans="1:35" ht="12" customHeight="1" x14ac:dyDescent="0.2">
      <c r="A99" s="168">
        <f t="shared" ref="A99" si="65">A97</f>
        <v>0</v>
      </c>
      <c r="B99" s="151"/>
      <c r="C99" s="199"/>
      <c r="D99" s="188"/>
      <c r="E99" s="185"/>
      <c r="F99" s="188"/>
      <c r="G99" s="188"/>
      <c r="H99" s="52"/>
      <c r="I99" s="144"/>
      <c r="J99" s="118"/>
      <c r="K99" s="191"/>
      <c r="L99" s="119"/>
      <c r="M99" s="120"/>
      <c r="N99" s="205"/>
      <c r="O99" s="135"/>
      <c r="P99" s="19"/>
      <c r="Q99" s="50"/>
      <c r="R99" s="50"/>
      <c r="S99" s="50"/>
      <c r="T99" s="50"/>
      <c r="U99" s="50"/>
      <c r="V99" s="50"/>
      <c r="W99" s="19"/>
      <c r="Y99" s="53">
        <f>IF(OR(C$97&lt;&gt;0,E99&lt;&gt;0,J99&lt;&gt;0,K99&lt;&gt;0,M99&lt;&gt;0),1,0)</f>
        <v>0</v>
      </c>
      <c r="Z99" s="96">
        <v>0</v>
      </c>
      <c r="AA99" s="54">
        <f t="shared" si="43"/>
        <v>0</v>
      </c>
      <c r="AB99" s="96">
        <v>0</v>
      </c>
      <c r="AC99" s="54">
        <f t="shared" si="44"/>
        <v>0</v>
      </c>
      <c r="AD99" s="54">
        <f t="shared" si="45"/>
        <v>0</v>
      </c>
      <c r="AE99" s="54">
        <f t="shared" si="46"/>
        <v>0</v>
      </c>
      <c r="AF99" s="54">
        <f>IF(ISBLANK($I99),0,IF($J99&gt;VLOOKUP($I99,Meal_limits,IF($C$97&gt;Old_meal_rates_end_date,4,2),0),1,0))</f>
        <v>0</v>
      </c>
      <c r="AG99" s="54">
        <f>IF(ISBLANK($I99),0,IF($J99&gt;VLOOKUP($I99,Meal_limits,IF($C$97&gt;Old_meal_rates_end_date,5,3),0),1,0))</f>
        <v>0</v>
      </c>
      <c r="AH99" s="54">
        <f t="shared" si="47"/>
        <v>0</v>
      </c>
      <c r="AI99" s="54">
        <v>1</v>
      </c>
    </row>
    <row r="100" spans="1:35" ht="12" customHeight="1" x14ac:dyDescent="0.2">
      <c r="A100" s="166">
        <f t="shared" si="63"/>
        <v>0</v>
      </c>
      <c r="B100" s="151">
        <v>31</v>
      </c>
      <c r="C100" s="197"/>
      <c r="D100" s="200"/>
      <c r="E100" s="183"/>
      <c r="F100" s="186"/>
      <c r="G100" s="186"/>
      <c r="H100" s="52"/>
      <c r="I100" s="17"/>
      <c r="J100" s="16"/>
      <c r="K100" s="189"/>
      <c r="L100" s="121"/>
      <c r="M100" s="114"/>
      <c r="N100" s="205"/>
      <c r="O100" s="135"/>
      <c r="P100" s="19"/>
      <c r="Q100" s="50"/>
      <c r="R100" s="50"/>
      <c r="S100" s="50"/>
      <c r="T100" s="50"/>
      <c r="U100" s="50"/>
      <c r="V100" s="50"/>
      <c r="W100" s="19"/>
      <c r="Y100" s="53">
        <f>IF(OR(C$100&lt;&gt;0,E100&lt;&gt;0,J100&lt;&gt;0,K100&lt;&gt;0,M100&lt;&gt;0),1,0)</f>
        <v>0</v>
      </c>
      <c r="Z100" s="54">
        <f>IF(AND($Y100&gt;0,C100=0),1,0)</f>
        <v>0</v>
      </c>
      <c r="AA100" s="54">
        <f t="shared" si="43"/>
        <v>0</v>
      </c>
      <c r="AB100" s="54">
        <f>IF(AND(Y100&gt;0,NOT(ISTEXT(D100))),1,0)</f>
        <v>0</v>
      </c>
      <c r="AC100" s="54">
        <f t="shared" si="44"/>
        <v>0</v>
      </c>
      <c r="AD100" s="54">
        <f t="shared" si="45"/>
        <v>0</v>
      </c>
      <c r="AE100" s="54">
        <f t="shared" si="46"/>
        <v>0</v>
      </c>
      <c r="AF100" s="54">
        <f>IF(ISBLANK($I100),0,IF($J100&gt;VLOOKUP($I100,Meal_limits,IF($C$100&gt;Old_meal_rates_end_date,4,2),0),1,0))</f>
        <v>0</v>
      </c>
      <c r="AG100" s="54">
        <f>IF(ISBLANK($I100),0,IF($J100&gt;VLOOKUP($I100,Meal_limits,IF($C$100&gt;Old_meal_rates_end_date,5,3),0),1,0))</f>
        <v>0</v>
      </c>
      <c r="AH100" s="54">
        <f t="shared" si="47"/>
        <v>0</v>
      </c>
      <c r="AI100" s="54">
        <v>1</v>
      </c>
    </row>
    <row r="101" spans="1:35" ht="12" customHeight="1" x14ac:dyDescent="0.2">
      <c r="A101" s="167">
        <f t="shared" ref="A101" si="66">A100</f>
        <v>0</v>
      </c>
      <c r="B101" s="151"/>
      <c r="C101" s="198"/>
      <c r="D101" s="187"/>
      <c r="E101" s="184"/>
      <c r="F101" s="187"/>
      <c r="G101" s="187"/>
      <c r="H101" s="52"/>
      <c r="I101" s="15"/>
      <c r="J101" s="115"/>
      <c r="K101" s="190"/>
      <c r="L101" s="116"/>
      <c r="M101" s="117"/>
      <c r="N101" s="205"/>
      <c r="O101" s="135"/>
      <c r="P101" s="19"/>
      <c r="Q101" s="50"/>
      <c r="R101" s="50"/>
      <c r="S101" s="50"/>
      <c r="T101" s="50"/>
      <c r="U101" s="50"/>
      <c r="V101" s="50"/>
      <c r="W101" s="19"/>
      <c r="Y101" s="53">
        <f>IF(OR(C$100&lt;&gt;0,E101&lt;&gt;0,J101&lt;&gt;0,K101&lt;&gt;0,M101&lt;&gt;0),1,0)</f>
        <v>0</v>
      </c>
      <c r="Z101" s="96">
        <v>0</v>
      </c>
      <c r="AA101" s="54">
        <f t="shared" si="43"/>
        <v>0</v>
      </c>
      <c r="AB101" s="96">
        <v>0</v>
      </c>
      <c r="AC101" s="54">
        <f t="shared" si="44"/>
        <v>0</v>
      </c>
      <c r="AD101" s="54">
        <f t="shared" si="45"/>
        <v>0</v>
      </c>
      <c r="AE101" s="54">
        <f t="shared" si="46"/>
        <v>0</v>
      </c>
      <c r="AF101" s="54">
        <f>IF(ISBLANK($I101),0,IF($J101&gt;VLOOKUP($I101,Meal_limits,IF($C$100&gt;Old_meal_rates_end_date,4,2),0),1,0))</f>
        <v>0</v>
      </c>
      <c r="AG101" s="54">
        <f>IF(ISBLANK($I101),0,IF($J101&gt;VLOOKUP($I101,Meal_limits,IF($C$100&gt;Old_meal_rates_end_date,5,3),0),1,0))</f>
        <v>0</v>
      </c>
      <c r="AH101" s="54">
        <f t="shared" si="47"/>
        <v>0</v>
      </c>
      <c r="AI101" s="54">
        <v>1</v>
      </c>
    </row>
    <row r="102" spans="1:35" ht="12" customHeight="1" x14ac:dyDescent="0.2">
      <c r="A102" s="168">
        <f t="shared" ref="A102" si="67">A100</f>
        <v>0</v>
      </c>
      <c r="B102" s="151"/>
      <c r="C102" s="199"/>
      <c r="D102" s="188"/>
      <c r="E102" s="185"/>
      <c r="F102" s="188"/>
      <c r="G102" s="188"/>
      <c r="H102" s="52"/>
      <c r="I102" s="144"/>
      <c r="J102" s="118"/>
      <c r="K102" s="191"/>
      <c r="L102" s="119"/>
      <c r="M102" s="120"/>
      <c r="N102" s="205"/>
      <c r="O102" s="135"/>
      <c r="P102" s="19"/>
      <c r="Q102" s="50"/>
      <c r="R102" s="50"/>
      <c r="S102" s="50"/>
      <c r="T102" s="50"/>
      <c r="U102" s="50"/>
      <c r="V102" s="50"/>
      <c r="W102" s="19"/>
      <c r="Y102" s="53">
        <f>IF(OR(C$100&lt;&gt;0,E102&lt;&gt;0,J102&lt;&gt;0,K102&lt;&gt;0,M102&lt;&gt;0),1,0)</f>
        <v>0</v>
      </c>
      <c r="Z102" s="96">
        <v>0</v>
      </c>
      <c r="AA102" s="54">
        <f t="shared" si="43"/>
        <v>0</v>
      </c>
      <c r="AB102" s="96">
        <v>0</v>
      </c>
      <c r="AC102" s="54">
        <f t="shared" si="44"/>
        <v>0</v>
      </c>
      <c r="AD102" s="54">
        <f t="shared" si="45"/>
        <v>0</v>
      </c>
      <c r="AE102" s="54">
        <f t="shared" si="46"/>
        <v>0</v>
      </c>
      <c r="AF102" s="54">
        <f>IF(ISBLANK($I102),0,IF($J102&gt;VLOOKUP($I102,Meal_limits,IF($C$100&gt;Old_meal_rates_end_date,4,2),0),1,0))</f>
        <v>0</v>
      </c>
      <c r="AG102" s="54">
        <f>IF(ISBLANK($I102),0,IF($J102&gt;VLOOKUP($I102,Meal_limits,IF($C$100&gt;Old_meal_rates_end_date,5,3),0),1,0))</f>
        <v>0</v>
      </c>
      <c r="AH102" s="54">
        <f t="shared" si="47"/>
        <v>0</v>
      </c>
      <c r="AI102" s="54">
        <v>1</v>
      </c>
    </row>
    <row r="103" spans="1:35" ht="12" customHeight="1" x14ac:dyDescent="0.2">
      <c r="A103" s="166">
        <f t="shared" si="63"/>
        <v>0</v>
      </c>
      <c r="B103" s="151">
        <v>32</v>
      </c>
      <c r="C103" s="197"/>
      <c r="D103" s="200"/>
      <c r="E103" s="183"/>
      <c r="F103" s="200"/>
      <c r="G103" s="200"/>
      <c r="H103" s="52"/>
      <c r="I103" s="17"/>
      <c r="J103" s="16"/>
      <c r="K103" s="189"/>
      <c r="L103" s="121"/>
      <c r="M103" s="114"/>
      <c r="N103" s="205"/>
      <c r="O103" s="135"/>
      <c r="P103" s="19"/>
      <c r="Q103" s="50"/>
      <c r="R103" s="50"/>
      <c r="S103" s="50"/>
      <c r="T103" s="50"/>
      <c r="U103" s="50"/>
      <c r="V103" s="50"/>
      <c r="W103" s="19"/>
      <c r="Y103" s="53">
        <f>IF(OR(C$103&lt;&gt;0,E103&lt;&gt;0,J103&lt;&gt;0,K103&lt;&gt;0,M103&lt;&gt;0),1,0)</f>
        <v>0</v>
      </c>
      <c r="Z103" s="54">
        <f>IF(AND($Y103&gt;0,C103=0),1,0)</f>
        <v>0</v>
      </c>
      <c r="AA103" s="54">
        <f t="shared" si="43"/>
        <v>0</v>
      </c>
      <c r="AB103" s="54">
        <f>IF(AND(Y103&gt;0,NOT(ISTEXT(D103))),1,0)</f>
        <v>0</v>
      </c>
      <c r="AC103" s="54">
        <f t="shared" si="44"/>
        <v>0</v>
      </c>
      <c r="AD103" s="54">
        <f t="shared" si="45"/>
        <v>0</v>
      </c>
      <c r="AE103" s="54">
        <f t="shared" si="46"/>
        <v>0</v>
      </c>
      <c r="AF103" s="54">
        <f>IF(ISBLANK($I103),0,IF($J103&gt;VLOOKUP($I103,Meal_limits,IF($C$103&gt;Old_meal_rates_end_date,4,2),0),1,0))</f>
        <v>0</v>
      </c>
      <c r="AG103" s="54">
        <f>IF(ISBLANK($I103),0,IF($J103&gt;VLOOKUP($I103,Meal_limits,IF($C$103&gt;Old_meal_rates_end_date,5,3),0),1,0))</f>
        <v>0</v>
      </c>
      <c r="AH103" s="54">
        <f t="shared" si="47"/>
        <v>0</v>
      </c>
      <c r="AI103" s="54">
        <v>1</v>
      </c>
    </row>
    <row r="104" spans="1:35" ht="12" customHeight="1" x14ac:dyDescent="0.2">
      <c r="A104" s="167">
        <f t="shared" ref="A104" si="68">A103</f>
        <v>0</v>
      </c>
      <c r="B104" s="151"/>
      <c r="C104" s="198"/>
      <c r="D104" s="187"/>
      <c r="E104" s="184"/>
      <c r="F104" s="187"/>
      <c r="G104" s="187"/>
      <c r="H104" s="52"/>
      <c r="I104" s="15"/>
      <c r="J104" s="115"/>
      <c r="K104" s="190"/>
      <c r="L104" s="116"/>
      <c r="M104" s="117"/>
      <c r="N104" s="205"/>
      <c r="O104" s="135"/>
      <c r="P104" s="19"/>
      <c r="Q104" s="50"/>
      <c r="R104" s="50"/>
      <c r="S104" s="50"/>
      <c r="T104" s="50"/>
      <c r="U104" s="50"/>
      <c r="V104" s="50"/>
      <c r="W104" s="19"/>
      <c r="Y104" s="53">
        <f>IF(OR(C$103&lt;&gt;0,E104&lt;&gt;0,J104&lt;&gt;0,K104&lt;&gt;0,M104&lt;&gt;0),1,0)</f>
        <v>0</v>
      </c>
      <c r="Z104" s="96">
        <v>0</v>
      </c>
      <c r="AA104" s="54">
        <f t="shared" si="43"/>
        <v>0</v>
      </c>
      <c r="AB104" s="96">
        <v>0</v>
      </c>
      <c r="AC104" s="54">
        <f t="shared" si="44"/>
        <v>0</v>
      </c>
      <c r="AD104" s="54">
        <f t="shared" si="45"/>
        <v>0</v>
      </c>
      <c r="AE104" s="54">
        <f t="shared" si="46"/>
        <v>0</v>
      </c>
      <c r="AF104" s="54">
        <f>IF(ISBLANK($I104),0,IF($J104&gt;VLOOKUP($I104,Meal_limits,IF($C$103&gt;Old_meal_rates_end_date,4,2),0),1,0))</f>
        <v>0</v>
      </c>
      <c r="AG104" s="54">
        <f>IF(ISBLANK($I104),0,IF($J104&gt;VLOOKUP($I104,Meal_limits,IF($C$103&gt;Old_meal_rates_end_date,5,3),0),1,0))</f>
        <v>0</v>
      </c>
      <c r="AH104" s="54">
        <f t="shared" si="47"/>
        <v>0</v>
      </c>
      <c r="AI104" s="54">
        <v>1</v>
      </c>
    </row>
    <row r="105" spans="1:35" ht="12" customHeight="1" x14ac:dyDescent="0.2">
      <c r="A105" s="168">
        <f t="shared" ref="A105" si="69">A103</f>
        <v>0</v>
      </c>
      <c r="B105" s="151"/>
      <c r="C105" s="199"/>
      <c r="D105" s="188"/>
      <c r="E105" s="185"/>
      <c r="F105" s="188"/>
      <c r="G105" s="188"/>
      <c r="H105" s="52"/>
      <c r="I105" s="144"/>
      <c r="J105" s="118"/>
      <c r="K105" s="191"/>
      <c r="L105" s="119"/>
      <c r="M105" s="120"/>
      <c r="N105" s="205"/>
      <c r="O105" s="135"/>
      <c r="P105" s="19"/>
      <c r="Q105" s="50"/>
      <c r="R105" s="50"/>
      <c r="S105" s="50"/>
      <c r="T105" s="50"/>
      <c r="U105" s="50"/>
      <c r="V105" s="50"/>
      <c r="W105" s="19"/>
      <c r="Y105" s="53">
        <f>IF(OR(C$103&lt;&gt;0,E105&lt;&gt;0,J105&lt;&gt;0,K105&lt;&gt;0,M105&lt;&gt;0),1,0)</f>
        <v>0</v>
      </c>
      <c r="Z105" s="96">
        <v>0</v>
      </c>
      <c r="AA105" s="54">
        <f t="shared" si="43"/>
        <v>0</v>
      </c>
      <c r="AB105" s="96">
        <v>0</v>
      </c>
      <c r="AC105" s="54">
        <f t="shared" si="44"/>
        <v>0</v>
      </c>
      <c r="AD105" s="54">
        <f t="shared" si="45"/>
        <v>0</v>
      </c>
      <c r="AE105" s="54">
        <f t="shared" si="46"/>
        <v>0</v>
      </c>
      <c r="AF105" s="54">
        <f>IF(ISBLANK($I105),0,IF($J105&gt;VLOOKUP($I105,Meal_limits,IF($C$103&gt;Old_meal_rates_end_date,4,2),0),1,0))</f>
        <v>0</v>
      </c>
      <c r="AG105" s="54">
        <f>IF(ISBLANK($I105),0,IF($J105&gt;VLOOKUP($I105,Meal_limits,IF($C$103&gt;Old_meal_rates_end_date,5,3),0),1,0))</f>
        <v>0</v>
      </c>
      <c r="AH105" s="54">
        <f t="shared" si="47"/>
        <v>0</v>
      </c>
      <c r="AI105" s="54">
        <v>1</v>
      </c>
    </row>
    <row r="106" spans="1:35" ht="12" customHeight="1" x14ac:dyDescent="0.2">
      <c r="A106" s="166">
        <f t="shared" si="63"/>
        <v>0</v>
      </c>
      <c r="B106" s="151">
        <v>33</v>
      </c>
      <c r="C106" s="197"/>
      <c r="D106" s="200"/>
      <c r="E106" s="183"/>
      <c r="F106" s="186"/>
      <c r="G106" s="186"/>
      <c r="H106" s="52"/>
      <c r="I106" s="17"/>
      <c r="J106" s="16"/>
      <c r="K106" s="189"/>
      <c r="L106" s="121"/>
      <c r="M106" s="114"/>
      <c r="N106" s="205"/>
      <c r="O106" s="135"/>
      <c r="P106" s="19"/>
      <c r="Q106" s="50"/>
      <c r="R106" s="50"/>
      <c r="S106" s="50"/>
      <c r="T106" s="50"/>
      <c r="U106" s="50"/>
      <c r="V106" s="50"/>
      <c r="W106" s="19"/>
      <c r="Y106" s="53">
        <f>IF(OR(C$106&lt;&gt;0,E106&lt;&gt;0,J106&lt;&gt;0,K106&lt;&gt;0,M106&lt;&gt;0),1,0)</f>
        <v>0</v>
      </c>
      <c r="Z106" s="54">
        <f>IF(AND($Y106&gt;0,C106=0),1,0)</f>
        <v>0</v>
      </c>
      <c r="AA106" s="54">
        <f t="shared" ref="AA106:AA141" si="70">IF(C106&gt;0,IF(OR(C106&lt;Form_date_earliest,C106&gt;Form_date_latest),1,0),0)</f>
        <v>0</v>
      </c>
      <c r="AB106" s="54">
        <f>IF(AND(Y106&gt;0,NOT(ISTEXT(D106))),1,0)</f>
        <v>0</v>
      </c>
      <c r="AC106" s="54">
        <f t="shared" ref="AC106:AC141" si="71">IF(AND(J106&gt;0,NOT(ISTEXT(I106))),1,0)</f>
        <v>0</v>
      </c>
      <c r="AD106" s="54">
        <f t="shared" ref="AD106:AD141" si="72">IF(AND(M106&lt;&gt;0,NOT(ISTEXT(L106))),1,0)</f>
        <v>0</v>
      </c>
      <c r="AE106" s="54">
        <f t="shared" ref="AE106:AE141" si="73">IF(AND(E106&gt;0,OR(ISBLANK(F106),ISBLANK(G106))),1,0)</f>
        <v>0</v>
      </c>
      <c r="AF106" s="54">
        <f>IF(ISBLANK($I106),0,IF($J106&gt;VLOOKUP($I106,Meal_limits,IF($C$106&gt;Old_meal_rates_end_date,4,2),0),1,0))</f>
        <v>0</v>
      </c>
      <c r="AG106" s="54">
        <f>IF(ISBLANK($I106),0,IF($J106&gt;VLOOKUP($I106,Meal_limits,IF($C$106&gt;Old_meal_rates_end_date,5,3),0),1,0))</f>
        <v>0</v>
      </c>
      <c r="AH106" s="54">
        <f t="shared" ref="AH106:AH141" si="74">IF(AND(I106="Other",J106&lt;&gt;0),1,0)</f>
        <v>0</v>
      </c>
      <c r="AI106" s="54">
        <v>1</v>
      </c>
    </row>
    <row r="107" spans="1:35" ht="12" customHeight="1" x14ac:dyDescent="0.2">
      <c r="A107" s="167">
        <f t="shared" ref="A107" si="75">A106</f>
        <v>0</v>
      </c>
      <c r="B107" s="151"/>
      <c r="C107" s="198"/>
      <c r="D107" s="187"/>
      <c r="E107" s="184"/>
      <c r="F107" s="187"/>
      <c r="G107" s="187"/>
      <c r="H107" s="52"/>
      <c r="I107" s="15"/>
      <c r="J107" s="115"/>
      <c r="K107" s="190"/>
      <c r="L107" s="116"/>
      <c r="M107" s="117"/>
      <c r="N107" s="205"/>
      <c r="O107" s="135"/>
      <c r="P107" s="19"/>
      <c r="Q107" s="50"/>
      <c r="R107" s="50"/>
      <c r="S107" s="50"/>
      <c r="T107" s="50"/>
      <c r="U107" s="50"/>
      <c r="V107" s="50"/>
      <c r="W107" s="19"/>
      <c r="Y107" s="53">
        <f>IF(OR(C$106&lt;&gt;0,E107&lt;&gt;0,J107&lt;&gt;0,K107&lt;&gt;0,M107&lt;&gt;0),1,0)</f>
        <v>0</v>
      </c>
      <c r="Z107" s="96">
        <v>0</v>
      </c>
      <c r="AA107" s="54">
        <f t="shared" si="70"/>
        <v>0</v>
      </c>
      <c r="AB107" s="96">
        <v>0</v>
      </c>
      <c r="AC107" s="54">
        <f t="shared" si="71"/>
        <v>0</v>
      </c>
      <c r="AD107" s="54">
        <f t="shared" si="72"/>
        <v>0</v>
      </c>
      <c r="AE107" s="54">
        <f t="shared" si="73"/>
        <v>0</v>
      </c>
      <c r="AF107" s="54">
        <f>IF(ISBLANK($I107),0,IF($J107&gt;VLOOKUP($I107,Meal_limits,IF($C$106&gt;Old_meal_rates_end_date,4,2),0),1,0))</f>
        <v>0</v>
      </c>
      <c r="AG107" s="54">
        <f>IF(ISBLANK($I107),0,IF($J107&gt;VLOOKUP($I107,Meal_limits,IF($C$106&gt;Old_meal_rates_end_date,5,3),0),1,0))</f>
        <v>0</v>
      </c>
      <c r="AH107" s="54">
        <f t="shared" si="74"/>
        <v>0</v>
      </c>
      <c r="AI107" s="54">
        <v>1</v>
      </c>
    </row>
    <row r="108" spans="1:35" ht="12" customHeight="1" x14ac:dyDescent="0.2">
      <c r="A108" s="168">
        <f t="shared" ref="A108" si="76">A106</f>
        <v>0</v>
      </c>
      <c r="B108" s="151"/>
      <c r="C108" s="199"/>
      <c r="D108" s="188"/>
      <c r="E108" s="185"/>
      <c r="F108" s="188"/>
      <c r="G108" s="188"/>
      <c r="H108" s="52"/>
      <c r="I108" s="144"/>
      <c r="J108" s="118"/>
      <c r="K108" s="191"/>
      <c r="L108" s="119"/>
      <c r="M108" s="120"/>
      <c r="N108" s="205"/>
      <c r="O108" s="135"/>
      <c r="P108" s="19"/>
      <c r="Q108" s="50"/>
      <c r="R108" s="50"/>
      <c r="S108" s="50"/>
      <c r="T108" s="50"/>
      <c r="U108" s="50"/>
      <c r="V108" s="50"/>
      <c r="W108" s="19"/>
      <c r="Y108" s="53">
        <f>IF(OR(C$106&lt;&gt;0,E108&lt;&gt;0,J108&lt;&gt;0,K108&lt;&gt;0,M108&lt;&gt;0),1,0)</f>
        <v>0</v>
      </c>
      <c r="Z108" s="96">
        <v>0</v>
      </c>
      <c r="AA108" s="54">
        <f t="shared" si="70"/>
        <v>0</v>
      </c>
      <c r="AB108" s="96">
        <v>0</v>
      </c>
      <c r="AC108" s="54">
        <f t="shared" si="71"/>
        <v>0</v>
      </c>
      <c r="AD108" s="54">
        <f t="shared" si="72"/>
        <v>0</v>
      </c>
      <c r="AE108" s="54">
        <f t="shared" si="73"/>
        <v>0</v>
      </c>
      <c r="AF108" s="54">
        <f>IF(ISBLANK($I108),0,IF($J108&gt;VLOOKUP($I108,Meal_limits,IF($C$106&gt;Old_meal_rates_end_date,4,2),0),1,0))</f>
        <v>0</v>
      </c>
      <c r="AG108" s="54">
        <f>IF(ISBLANK($I108),0,IF($J108&gt;VLOOKUP($I108,Meal_limits,IF($C$106&gt;Old_meal_rates_end_date,5,3),0),1,0))</f>
        <v>0</v>
      </c>
      <c r="AH108" s="54">
        <f t="shared" si="74"/>
        <v>0</v>
      </c>
      <c r="AI108" s="54">
        <v>1</v>
      </c>
    </row>
    <row r="109" spans="1:35" ht="12" customHeight="1" x14ac:dyDescent="0.2">
      <c r="A109" s="166">
        <f t="shared" si="63"/>
        <v>0</v>
      </c>
      <c r="B109" s="151">
        <v>34</v>
      </c>
      <c r="C109" s="197"/>
      <c r="D109" s="200"/>
      <c r="E109" s="183"/>
      <c r="F109" s="186"/>
      <c r="G109" s="186"/>
      <c r="H109" s="52"/>
      <c r="I109" s="17"/>
      <c r="J109" s="16"/>
      <c r="K109" s="189"/>
      <c r="L109" s="121"/>
      <c r="M109" s="114"/>
      <c r="N109" s="205"/>
      <c r="O109" s="135"/>
      <c r="P109" s="19"/>
      <c r="Q109" s="50"/>
      <c r="R109" s="50"/>
      <c r="S109" s="50"/>
      <c r="T109" s="50"/>
      <c r="U109" s="50"/>
      <c r="V109" s="50"/>
      <c r="W109" s="19"/>
      <c r="Y109" s="53">
        <f>IF(OR(C109&lt;&gt;0,E109&lt;&gt;0,J109&lt;&gt;0,K109&lt;&gt;0,M109&lt;&gt;0),1,0)</f>
        <v>0</v>
      </c>
      <c r="Z109" s="54">
        <f>IF(AND($Y109&gt;0,C109=0),1,0)</f>
        <v>0</v>
      </c>
      <c r="AA109" s="54">
        <f t="shared" si="70"/>
        <v>0</v>
      </c>
      <c r="AB109" s="54">
        <f>IF(AND(Y109&gt;0,NOT(ISTEXT(D109))),1,0)</f>
        <v>0</v>
      </c>
      <c r="AC109" s="54">
        <f t="shared" si="71"/>
        <v>0</v>
      </c>
      <c r="AD109" s="54">
        <f t="shared" si="72"/>
        <v>0</v>
      </c>
      <c r="AE109" s="54">
        <f t="shared" si="73"/>
        <v>0</v>
      </c>
      <c r="AF109" s="54">
        <f>IF(ISBLANK($I109),0,IF($J109&gt;VLOOKUP($I109,Meal_limits,IF($C$109&gt;Old_meal_rates_end_date,4,2),0),1,0))</f>
        <v>0</v>
      </c>
      <c r="AG109" s="54">
        <f>IF(ISBLANK($I109),0,IF($J109&gt;VLOOKUP($I109,Meal_limits,IF($C$109&gt;Old_meal_rates_end_date,5,3),0),1,0))</f>
        <v>0</v>
      </c>
      <c r="AH109" s="54">
        <f t="shared" si="74"/>
        <v>0</v>
      </c>
      <c r="AI109" s="54">
        <v>1</v>
      </c>
    </row>
    <row r="110" spans="1:35" ht="12" customHeight="1" x14ac:dyDescent="0.2">
      <c r="A110" s="167">
        <f t="shared" ref="A110" si="77">A109</f>
        <v>0</v>
      </c>
      <c r="B110" s="151"/>
      <c r="C110" s="198"/>
      <c r="D110" s="187"/>
      <c r="E110" s="184"/>
      <c r="F110" s="187"/>
      <c r="G110" s="187"/>
      <c r="H110" s="52"/>
      <c r="I110" s="15"/>
      <c r="J110" s="115"/>
      <c r="K110" s="190"/>
      <c r="L110" s="116"/>
      <c r="M110" s="117"/>
      <c r="N110" s="205"/>
      <c r="O110" s="135"/>
      <c r="P110" s="19"/>
      <c r="Q110" s="50"/>
      <c r="R110" s="50"/>
      <c r="S110" s="50"/>
      <c r="T110" s="50"/>
      <c r="U110" s="50"/>
      <c r="V110" s="50"/>
      <c r="W110" s="19"/>
      <c r="Y110" s="53">
        <f>IF(OR(C110&lt;&gt;0,E110&lt;&gt;0,J110&lt;&gt;0,K110&lt;&gt;0,M110&lt;&gt;0),1,0)</f>
        <v>0</v>
      </c>
      <c r="Z110" s="96">
        <v>0</v>
      </c>
      <c r="AA110" s="54">
        <f t="shared" si="70"/>
        <v>0</v>
      </c>
      <c r="AB110" s="96">
        <v>0</v>
      </c>
      <c r="AC110" s="54">
        <f t="shared" si="71"/>
        <v>0</v>
      </c>
      <c r="AD110" s="54">
        <f t="shared" si="72"/>
        <v>0</v>
      </c>
      <c r="AE110" s="54">
        <f t="shared" si="73"/>
        <v>0</v>
      </c>
      <c r="AF110" s="54">
        <f>IF(ISBLANK($I110),0,IF($J110&gt;VLOOKUP($I110,Meal_limits,IF($C$109&gt;Old_meal_rates_end_date,4,2),0),1,0))</f>
        <v>0</v>
      </c>
      <c r="AG110" s="54">
        <f>IF(ISBLANK($I110),0,IF($J110&gt;VLOOKUP($I110,Meal_limits,IF($C$109&gt;Old_meal_rates_end_date,5,3),0),1,0))</f>
        <v>0</v>
      </c>
      <c r="AH110" s="54">
        <f t="shared" si="74"/>
        <v>0</v>
      </c>
      <c r="AI110" s="54">
        <v>1</v>
      </c>
    </row>
    <row r="111" spans="1:35" ht="12" customHeight="1" x14ac:dyDescent="0.2">
      <c r="A111" s="168">
        <f t="shared" ref="A111" si="78">A109</f>
        <v>0</v>
      </c>
      <c r="B111" s="151"/>
      <c r="C111" s="199"/>
      <c r="D111" s="188"/>
      <c r="E111" s="185"/>
      <c r="F111" s="188"/>
      <c r="G111" s="188"/>
      <c r="H111" s="52"/>
      <c r="I111" s="144"/>
      <c r="J111" s="118"/>
      <c r="K111" s="191"/>
      <c r="L111" s="119"/>
      <c r="M111" s="120"/>
      <c r="N111" s="205"/>
      <c r="O111" s="135"/>
      <c r="P111" s="19"/>
      <c r="Q111" s="50"/>
      <c r="R111" s="50"/>
      <c r="S111" s="50"/>
      <c r="T111" s="50"/>
      <c r="U111" s="50"/>
      <c r="V111" s="50"/>
      <c r="W111" s="19"/>
      <c r="Y111" s="53">
        <f>IF(OR(C111&lt;&gt;0,E111&lt;&gt;0,J111&lt;&gt;0,K111&lt;&gt;0,M111&lt;&gt;0),1,0)</f>
        <v>0</v>
      </c>
      <c r="Z111" s="96">
        <v>0</v>
      </c>
      <c r="AA111" s="54">
        <f t="shared" si="70"/>
        <v>0</v>
      </c>
      <c r="AB111" s="96">
        <v>0</v>
      </c>
      <c r="AC111" s="54">
        <f t="shared" si="71"/>
        <v>0</v>
      </c>
      <c r="AD111" s="54">
        <f t="shared" si="72"/>
        <v>0</v>
      </c>
      <c r="AE111" s="54">
        <f t="shared" si="73"/>
        <v>0</v>
      </c>
      <c r="AF111" s="54">
        <f>IF(ISBLANK($I111),0,IF($J111&gt;VLOOKUP($I111,Meal_limits,IF($C$109&gt;Old_meal_rates_end_date,4,2),0),1,0))</f>
        <v>0</v>
      </c>
      <c r="AG111" s="54">
        <f>IF(ISBLANK($I111),0,IF($J111&gt;VLOOKUP($I111,Meal_limits,IF($C$109&gt;Old_meal_rates_end_date,5,3),0),1,0))</f>
        <v>0</v>
      </c>
      <c r="AH111" s="54">
        <f t="shared" si="74"/>
        <v>0</v>
      </c>
      <c r="AI111" s="54">
        <v>1</v>
      </c>
    </row>
    <row r="112" spans="1:35" ht="12" customHeight="1" x14ac:dyDescent="0.2">
      <c r="A112" s="166">
        <f t="shared" si="63"/>
        <v>0</v>
      </c>
      <c r="B112" s="151">
        <v>35</v>
      </c>
      <c r="C112" s="197"/>
      <c r="D112" s="200"/>
      <c r="E112" s="183"/>
      <c r="F112" s="186"/>
      <c r="G112" s="186"/>
      <c r="H112" s="52"/>
      <c r="I112" s="17"/>
      <c r="J112" s="16"/>
      <c r="K112" s="189"/>
      <c r="L112" s="121"/>
      <c r="M112" s="114"/>
      <c r="N112" s="205"/>
      <c r="O112" s="135"/>
      <c r="P112" s="19"/>
      <c r="Q112" s="50"/>
      <c r="R112" s="50"/>
      <c r="S112" s="50"/>
      <c r="T112" s="50"/>
      <c r="U112" s="50"/>
      <c r="V112" s="50"/>
      <c r="W112" s="19"/>
      <c r="Y112" s="53">
        <f>IF(OR(C$112&lt;&gt;0,E112&lt;&gt;0,J112&lt;&gt;0,K112&lt;&gt;0,M112&lt;&gt;0),1,0)</f>
        <v>0</v>
      </c>
      <c r="Z112" s="54">
        <f>IF(AND($Y112&gt;0,C112=0),1,0)</f>
        <v>0</v>
      </c>
      <c r="AA112" s="54">
        <f t="shared" si="70"/>
        <v>0</v>
      </c>
      <c r="AB112" s="54">
        <f>IF(AND(Y112&gt;0,NOT(ISTEXT(D112))),1,0)</f>
        <v>0</v>
      </c>
      <c r="AC112" s="54">
        <f t="shared" si="71"/>
        <v>0</v>
      </c>
      <c r="AD112" s="54">
        <f t="shared" si="72"/>
        <v>0</v>
      </c>
      <c r="AE112" s="54">
        <f t="shared" si="73"/>
        <v>0</v>
      </c>
      <c r="AF112" s="54">
        <f>IF(ISBLANK($I112),0,IF($J112&gt;VLOOKUP($I112,Meal_limits,IF($C$112&gt;Old_meal_rates_end_date,4,2),0),1,0))</f>
        <v>0</v>
      </c>
      <c r="AG112" s="54">
        <f>IF(ISBLANK($I112),0,IF($J112&gt;VLOOKUP($I112,Meal_limits,IF($C$112&gt;Old_meal_rates_end_date,5,3),0),1,0))</f>
        <v>0</v>
      </c>
      <c r="AH112" s="54">
        <f t="shared" si="74"/>
        <v>0</v>
      </c>
      <c r="AI112" s="54">
        <v>1</v>
      </c>
    </row>
    <row r="113" spans="1:35" ht="12" customHeight="1" x14ac:dyDescent="0.2">
      <c r="A113" s="167">
        <f t="shared" ref="A113" si="79">A112</f>
        <v>0</v>
      </c>
      <c r="B113" s="151"/>
      <c r="C113" s="198"/>
      <c r="D113" s="187"/>
      <c r="E113" s="184"/>
      <c r="F113" s="187"/>
      <c r="G113" s="187"/>
      <c r="H113" s="52"/>
      <c r="I113" s="15"/>
      <c r="J113" s="115"/>
      <c r="K113" s="190"/>
      <c r="L113" s="116"/>
      <c r="M113" s="117"/>
      <c r="N113" s="205"/>
      <c r="O113" s="135"/>
      <c r="P113" s="19"/>
      <c r="Q113" s="50"/>
      <c r="R113" s="50"/>
      <c r="S113" s="50"/>
      <c r="T113" s="50"/>
      <c r="U113" s="50"/>
      <c r="V113" s="50"/>
      <c r="W113" s="19"/>
      <c r="Y113" s="53">
        <f>IF(OR(C$112&lt;&gt;0,E113&lt;&gt;0,J113&lt;&gt;0,K113&lt;&gt;0,M113&lt;&gt;0),1,0)</f>
        <v>0</v>
      </c>
      <c r="Z113" s="96">
        <v>0</v>
      </c>
      <c r="AA113" s="54">
        <f t="shared" si="70"/>
        <v>0</v>
      </c>
      <c r="AB113" s="96">
        <v>0</v>
      </c>
      <c r="AC113" s="54">
        <f t="shared" si="71"/>
        <v>0</v>
      </c>
      <c r="AD113" s="54">
        <f t="shared" si="72"/>
        <v>0</v>
      </c>
      <c r="AE113" s="54">
        <f t="shared" si="73"/>
        <v>0</v>
      </c>
      <c r="AF113" s="54">
        <f>IF(ISBLANK($I113),0,IF($J113&gt;VLOOKUP($I113,Meal_limits,IF($C$112&gt;Old_meal_rates_end_date,4,2),0),1,0))</f>
        <v>0</v>
      </c>
      <c r="AG113" s="54">
        <f>IF(ISBLANK($I113),0,IF($J113&gt;VLOOKUP($I113,Meal_limits,IF($C$112&gt;Old_meal_rates_end_date,5,3),0),1,0))</f>
        <v>0</v>
      </c>
      <c r="AH113" s="54">
        <f t="shared" si="74"/>
        <v>0</v>
      </c>
      <c r="AI113" s="54">
        <v>1</v>
      </c>
    </row>
    <row r="114" spans="1:35" ht="12" customHeight="1" x14ac:dyDescent="0.2">
      <c r="A114" s="168">
        <f t="shared" ref="A114" si="80">A112</f>
        <v>0</v>
      </c>
      <c r="B114" s="151"/>
      <c r="C114" s="199"/>
      <c r="D114" s="188"/>
      <c r="E114" s="185"/>
      <c r="F114" s="188"/>
      <c r="G114" s="188"/>
      <c r="H114" s="52"/>
      <c r="I114" s="144"/>
      <c r="J114" s="118"/>
      <c r="K114" s="191"/>
      <c r="L114" s="119"/>
      <c r="M114" s="120"/>
      <c r="N114" s="205"/>
      <c r="O114" s="135"/>
      <c r="P114" s="19"/>
      <c r="Q114" s="50"/>
      <c r="R114" s="50"/>
      <c r="S114" s="50"/>
      <c r="T114" s="50"/>
      <c r="U114" s="50"/>
      <c r="V114" s="50"/>
      <c r="W114" s="19"/>
      <c r="Y114" s="53">
        <f>IF(OR(C$112&lt;&gt;0,E114&lt;&gt;0,J114&lt;&gt;0,K114&lt;&gt;0,M114&lt;&gt;0),1,0)</f>
        <v>0</v>
      </c>
      <c r="Z114" s="96">
        <v>0</v>
      </c>
      <c r="AA114" s="54">
        <f t="shared" si="70"/>
        <v>0</v>
      </c>
      <c r="AB114" s="96">
        <v>0</v>
      </c>
      <c r="AC114" s="54">
        <f t="shared" si="71"/>
        <v>0</v>
      </c>
      <c r="AD114" s="54">
        <f t="shared" si="72"/>
        <v>0</v>
      </c>
      <c r="AE114" s="54">
        <f t="shared" si="73"/>
        <v>0</v>
      </c>
      <c r="AF114" s="54">
        <f>IF(ISBLANK($I114),0,IF($J114&gt;VLOOKUP($I114,Meal_limits,IF($C$112&gt;Old_meal_rates_end_date,4,2),0),1,0))</f>
        <v>0</v>
      </c>
      <c r="AG114" s="54">
        <f>IF(ISBLANK($I114),0,IF($J114&gt;VLOOKUP($I114,Meal_limits,IF($C$112&gt;Old_meal_rates_end_date,5,3),0),1,0))</f>
        <v>0</v>
      </c>
      <c r="AH114" s="54">
        <f t="shared" si="74"/>
        <v>0</v>
      </c>
      <c r="AI114" s="54">
        <v>1</v>
      </c>
    </row>
    <row r="115" spans="1:35" ht="12" customHeight="1" x14ac:dyDescent="0.2">
      <c r="A115" s="166">
        <f t="shared" si="63"/>
        <v>0</v>
      </c>
      <c r="B115" s="151">
        <v>36</v>
      </c>
      <c r="C115" s="197"/>
      <c r="D115" s="200"/>
      <c r="E115" s="183"/>
      <c r="F115" s="186"/>
      <c r="G115" s="186"/>
      <c r="H115" s="52"/>
      <c r="I115" s="17"/>
      <c r="J115" s="16"/>
      <c r="K115" s="189"/>
      <c r="L115" s="121"/>
      <c r="M115" s="114"/>
      <c r="N115" s="205"/>
      <c r="O115" s="135"/>
      <c r="P115" s="19"/>
      <c r="Q115" s="50"/>
      <c r="R115" s="50"/>
      <c r="S115" s="50"/>
      <c r="T115" s="50"/>
      <c r="U115" s="50"/>
      <c r="V115" s="50"/>
      <c r="W115" s="19"/>
      <c r="Y115" s="53">
        <f>IF(OR(C$115&lt;&gt;0,E115&lt;&gt;0,J115&lt;&gt;0,K115&lt;&gt;0,M115&lt;&gt;0),1,0)</f>
        <v>0</v>
      </c>
      <c r="Z115" s="54">
        <f>IF(AND($Y115&gt;0,C115=0),1,0)</f>
        <v>0</v>
      </c>
      <c r="AA115" s="54">
        <f t="shared" si="70"/>
        <v>0</v>
      </c>
      <c r="AB115" s="54">
        <f>IF(AND(Y115&gt;0,NOT(ISTEXT(D115))),1,0)</f>
        <v>0</v>
      </c>
      <c r="AC115" s="54">
        <f t="shared" si="71"/>
        <v>0</v>
      </c>
      <c r="AD115" s="54">
        <f t="shared" si="72"/>
        <v>0</v>
      </c>
      <c r="AE115" s="54">
        <f t="shared" si="73"/>
        <v>0</v>
      </c>
      <c r="AF115" s="54">
        <f>IF(ISBLANK($I115),0,IF($J115&gt;VLOOKUP($I115,Meal_limits,IF($C$115&gt;Old_meal_rates_end_date,4,2),0),1,0))</f>
        <v>0</v>
      </c>
      <c r="AG115" s="54">
        <f>IF(ISBLANK($I115),0,IF($J115&gt;VLOOKUP($I115,Meal_limits,IF($C$115&gt;Old_meal_rates_end_date,5,3),0),1,0))</f>
        <v>0</v>
      </c>
      <c r="AH115" s="54">
        <f t="shared" si="74"/>
        <v>0</v>
      </c>
      <c r="AI115" s="54">
        <v>1</v>
      </c>
    </row>
    <row r="116" spans="1:35" ht="12" customHeight="1" x14ac:dyDescent="0.2">
      <c r="A116" s="167">
        <f t="shared" ref="A116" si="81">A115</f>
        <v>0</v>
      </c>
      <c r="B116" s="151"/>
      <c r="C116" s="198"/>
      <c r="D116" s="187"/>
      <c r="E116" s="184"/>
      <c r="F116" s="187"/>
      <c r="G116" s="187"/>
      <c r="H116" s="52"/>
      <c r="I116" s="15"/>
      <c r="J116" s="115"/>
      <c r="K116" s="190"/>
      <c r="L116" s="116"/>
      <c r="M116" s="117"/>
      <c r="N116" s="205"/>
      <c r="O116" s="135"/>
      <c r="P116" s="19"/>
      <c r="Q116" s="50"/>
      <c r="R116" s="50"/>
      <c r="S116" s="50"/>
      <c r="T116" s="50"/>
      <c r="U116" s="50"/>
      <c r="V116" s="50"/>
      <c r="W116" s="19"/>
      <c r="Y116" s="53">
        <f>IF(OR(C$115&lt;&gt;0,E116&lt;&gt;0,J116&lt;&gt;0,K116&lt;&gt;0,M116&lt;&gt;0),1,0)</f>
        <v>0</v>
      </c>
      <c r="Z116" s="96">
        <v>0</v>
      </c>
      <c r="AA116" s="54">
        <f t="shared" si="70"/>
        <v>0</v>
      </c>
      <c r="AB116" s="96">
        <v>0</v>
      </c>
      <c r="AC116" s="54">
        <f t="shared" si="71"/>
        <v>0</v>
      </c>
      <c r="AD116" s="54">
        <f t="shared" si="72"/>
        <v>0</v>
      </c>
      <c r="AE116" s="54">
        <f t="shared" si="73"/>
        <v>0</v>
      </c>
      <c r="AF116" s="54">
        <f>IF(ISBLANK($I116),0,IF($J116&gt;VLOOKUP($I116,Meal_limits,IF($C$115&gt;Old_meal_rates_end_date,4,2),0),1,0))</f>
        <v>0</v>
      </c>
      <c r="AG116" s="54">
        <f>IF(ISBLANK($I116),0,IF($J116&gt;VLOOKUP($I116,Meal_limits,IF($C$115&gt;Old_meal_rates_end_date,5,3),0),1,0))</f>
        <v>0</v>
      </c>
      <c r="AH116" s="54">
        <f t="shared" si="74"/>
        <v>0</v>
      </c>
      <c r="AI116" s="54">
        <v>1</v>
      </c>
    </row>
    <row r="117" spans="1:35" ht="12" customHeight="1" x14ac:dyDescent="0.2">
      <c r="A117" s="168">
        <f t="shared" ref="A117" si="82">A115</f>
        <v>0</v>
      </c>
      <c r="B117" s="151"/>
      <c r="C117" s="199"/>
      <c r="D117" s="188"/>
      <c r="E117" s="185"/>
      <c r="F117" s="188"/>
      <c r="G117" s="188"/>
      <c r="H117" s="52"/>
      <c r="I117" s="144"/>
      <c r="J117" s="118"/>
      <c r="K117" s="191"/>
      <c r="L117" s="119"/>
      <c r="M117" s="120"/>
      <c r="N117" s="205"/>
      <c r="O117" s="135"/>
      <c r="P117" s="19"/>
      <c r="Q117" s="50"/>
      <c r="R117" s="50"/>
      <c r="S117" s="50"/>
      <c r="T117" s="50"/>
      <c r="U117" s="50"/>
      <c r="V117" s="50"/>
      <c r="W117" s="19"/>
      <c r="Y117" s="53">
        <f>IF(OR(C$115&lt;&gt;0,E117&lt;&gt;0,J117&lt;&gt;0,K117&lt;&gt;0,M117&lt;&gt;0),1,0)</f>
        <v>0</v>
      </c>
      <c r="Z117" s="96">
        <v>0</v>
      </c>
      <c r="AA117" s="54">
        <f t="shared" si="70"/>
        <v>0</v>
      </c>
      <c r="AB117" s="96">
        <v>0</v>
      </c>
      <c r="AC117" s="54">
        <f t="shared" si="71"/>
        <v>0</v>
      </c>
      <c r="AD117" s="54">
        <f t="shared" si="72"/>
        <v>0</v>
      </c>
      <c r="AE117" s="54">
        <f t="shared" si="73"/>
        <v>0</v>
      </c>
      <c r="AF117" s="54">
        <f>IF(ISBLANK($I117),0,IF($J117&gt;VLOOKUP($I117,Meal_limits,IF($C$115&gt;Old_meal_rates_end_date,4,2),0),1,0))</f>
        <v>0</v>
      </c>
      <c r="AG117" s="54">
        <f>IF(ISBLANK($I117),0,IF($J117&gt;VLOOKUP($I117,Meal_limits,IF($C$115&gt;Old_meal_rates_end_date,5,3),0),1,0))</f>
        <v>0</v>
      </c>
      <c r="AH117" s="54">
        <f t="shared" si="74"/>
        <v>0</v>
      </c>
      <c r="AI117" s="54">
        <v>1</v>
      </c>
    </row>
    <row r="118" spans="1:35" ht="12" customHeight="1" x14ac:dyDescent="0.2">
      <c r="A118" s="166">
        <f t="shared" si="63"/>
        <v>0</v>
      </c>
      <c r="B118" s="151">
        <v>37</v>
      </c>
      <c r="C118" s="197"/>
      <c r="D118" s="200"/>
      <c r="E118" s="183"/>
      <c r="F118" s="186"/>
      <c r="G118" s="186"/>
      <c r="H118" s="52"/>
      <c r="I118" s="17"/>
      <c r="J118" s="16"/>
      <c r="K118" s="189"/>
      <c r="L118" s="121"/>
      <c r="M118" s="114"/>
      <c r="N118" s="205"/>
      <c r="O118" s="135"/>
      <c r="P118" s="19"/>
      <c r="Q118" s="50"/>
      <c r="R118" s="50"/>
      <c r="S118" s="50"/>
      <c r="T118" s="50"/>
      <c r="U118" s="50"/>
      <c r="V118" s="50"/>
      <c r="W118" s="19"/>
      <c r="Y118" s="53">
        <f>IF(OR(C$118&lt;&gt;0,E118&lt;&gt;0,J118&lt;&gt;0,K118&lt;&gt;0,M118&lt;&gt;0),1,0)</f>
        <v>0</v>
      </c>
      <c r="Z118" s="54">
        <f>IF(AND($Y118&gt;0,C118=0),1,0)</f>
        <v>0</v>
      </c>
      <c r="AA118" s="54">
        <f t="shared" si="70"/>
        <v>0</v>
      </c>
      <c r="AB118" s="54">
        <f>IF(AND(Y118&gt;0,NOT(ISTEXT(D118))),1,0)</f>
        <v>0</v>
      </c>
      <c r="AC118" s="54">
        <f t="shared" si="71"/>
        <v>0</v>
      </c>
      <c r="AD118" s="54">
        <f t="shared" si="72"/>
        <v>0</v>
      </c>
      <c r="AE118" s="54">
        <f t="shared" si="73"/>
        <v>0</v>
      </c>
      <c r="AF118" s="54">
        <f>IF(ISBLANK($I118),0,IF($J118&gt;VLOOKUP($I118,Meal_limits,IF($C$118&gt;Old_meal_rates_end_date,4,2),0),1,0))</f>
        <v>0</v>
      </c>
      <c r="AG118" s="54">
        <f>IF(ISBLANK($I118),0,IF($J118&gt;VLOOKUP($I118,Meal_limits,IF($C$118&gt;Old_meal_rates_end_date,5,3),0),1,0))</f>
        <v>0</v>
      </c>
      <c r="AH118" s="54">
        <f t="shared" si="74"/>
        <v>0</v>
      </c>
      <c r="AI118" s="54">
        <v>1</v>
      </c>
    </row>
    <row r="119" spans="1:35" ht="12" customHeight="1" x14ac:dyDescent="0.2">
      <c r="A119" s="167">
        <f t="shared" ref="A119" si="83">A118</f>
        <v>0</v>
      </c>
      <c r="B119" s="151"/>
      <c r="C119" s="198"/>
      <c r="D119" s="187"/>
      <c r="E119" s="184"/>
      <c r="F119" s="187"/>
      <c r="G119" s="187"/>
      <c r="H119" s="52"/>
      <c r="I119" s="15"/>
      <c r="J119" s="115"/>
      <c r="K119" s="190"/>
      <c r="L119" s="116"/>
      <c r="M119" s="117"/>
      <c r="N119" s="205"/>
      <c r="O119" s="135"/>
      <c r="P119" s="19"/>
      <c r="Q119" s="50"/>
      <c r="R119" s="50"/>
      <c r="S119" s="50"/>
      <c r="T119" s="50"/>
      <c r="U119" s="50"/>
      <c r="V119" s="50"/>
      <c r="W119" s="19"/>
      <c r="Y119" s="53">
        <f>IF(OR(C$118&lt;&gt;0,E119&lt;&gt;0,J119&lt;&gt;0,K119&lt;&gt;0,M119&lt;&gt;0),1,0)</f>
        <v>0</v>
      </c>
      <c r="Z119" s="96">
        <v>0</v>
      </c>
      <c r="AA119" s="54">
        <f t="shared" si="70"/>
        <v>0</v>
      </c>
      <c r="AB119" s="96">
        <v>0</v>
      </c>
      <c r="AC119" s="54">
        <f t="shared" si="71"/>
        <v>0</v>
      </c>
      <c r="AD119" s="54">
        <f t="shared" si="72"/>
        <v>0</v>
      </c>
      <c r="AE119" s="54">
        <f t="shared" si="73"/>
        <v>0</v>
      </c>
      <c r="AF119" s="54">
        <f>IF(ISBLANK($I119),0,IF($J119&gt;VLOOKUP($I119,Meal_limits,IF($C$118&gt;Old_meal_rates_end_date,4,2),0),1,0))</f>
        <v>0</v>
      </c>
      <c r="AG119" s="54">
        <f>IF(ISBLANK($I119),0,IF($J119&gt;VLOOKUP($I119,Meal_limits,IF($C$118&gt;Old_meal_rates_end_date,5,3),0),1,0))</f>
        <v>0</v>
      </c>
      <c r="AH119" s="54">
        <f t="shared" si="74"/>
        <v>0</v>
      </c>
      <c r="AI119" s="54">
        <v>1</v>
      </c>
    </row>
    <row r="120" spans="1:35" ht="12" customHeight="1" x14ac:dyDescent="0.2">
      <c r="A120" s="168">
        <f t="shared" ref="A120" si="84">A118</f>
        <v>0</v>
      </c>
      <c r="B120" s="151"/>
      <c r="C120" s="199"/>
      <c r="D120" s="188"/>
      <c r="E120" s="185"/>
      <c r="F120" s="188"/>
      <c r="G120" s="188"/>
      <c r="H120" s="52"/>
      <c r="I120" s="144"/>
      <c r="J120" s="118"/>
      <c r="K120" s="191"/>
      <c r="L120" s="119"/>
      <c r="M120" s="120"/>
      <c r="N120" s="205"/>
      <c r="O120" s="135"/>
      <c r="P120" s="19"/>
      <c r="Q120" s="50"/>
      <c r="R120" s="50"/>
      <c r="S120" s="50"/>
      <c r="T120" s="50"/>
      <c r="U120" s="50"/>
      <c r="V120" s="50"/>
      <c r="W120" s="19"/>
      <c r="Y120" s="53">
        <f>IF(OR(C$118&lt;&gt;0,E120&lt;&gt;0,J120&lt;&gt;0,K120&lt;&gt;0,M120&lt;&gt;0),1,0)</f>
        <v>0</v>
      </c>
      <c r="Z120" s="96">
        <v>0</v>
      </c>
      <c r="AA120" s="54">
        <f t="shared" si="70"/>
        <v>0</v>
      </c>
      <c r="AB120" s="96">
        <v>0</v>
      </c>
      <c r="AC120" s="54">
        <f t="shared" si="71"/>
        <v>0</v>
      </c>
      <c r="AD120" s="54">
        <f t="shared" si="72"/>
        <v>0</v>
      </c>
      <c r="AE120" s="54">
        <f t="shared" si="73"/>
        <v>0</v>
      </c>
      <c r="AF120" s="54">
        <f>IF(ISBLANK($I120),0,IF($J120&gt;VLOOKUP($I120,Meal_limits,IF($C$118&gt;Old_meal_rates_end_date,4,2),0),1,0))</f>
        <v>0</v>
      </c>
      <c r="AG120" s="54">
        <f>IF(ISBLANK($I120),0,IF($J120&gt;VLOOKUP($I120,Meal_limits,IF($C$118&gt;Old_meal_rates_end_date,5,3),0),1,0))</f>
        <v>0</v>
      </c>
      <c r="AH120" s="54">
        <f t="shared" si="74"/>
        <v>0</v>
      </c>
      <c r="AI120" s="54">
        <v>1</v>
      </c>
    </row>
    <row r="121" spans="1:35" ht="12" customHeight="1" x14ac:dyDescent="0.2">
      <c r="A121" s="166">
        <f t="shared" si="63"/>
        <v>0</v>
      </c>
      <c r="B121" s="151">
        <v>38</v>
      </c>
      <c r="C121" s="197"/>
      <c r="D121" s="200"/>
      <c r="E121" s="183"/>
      <c r="F121" s="186"/>
      <c r="G121" s="186"/>
      <c r="H121" s="52"/>
      <c r="I121" s="17"/>
      <c r="J121" s="16"/>
      <c r="K121" s="189"/>
      <c r="L121" s="121"/>
      <c r="M121" s="114"/>
      <c r="N121" s="205"/>
      <c r="O121" s="135"/>
      <c r="P121" s="19"/>
      <c r="Q121" s="50"/>
      <c r="R121" s="50"/>
      <c r="S121" s="50"/>
      <c r="T121" s="50"/>
      <c r="U121" s="50"/>
      <c r="V121" s="50"/>
      <c r="W121" s="19"/>
      <c r="Y121" s="53">
        <f>IF(OR(C$121&lt;&gt;0,E121&lt;&gt;0,J121&lt;&gt;0,K121&lt;&gt;0,M121&lt;&gt;0),1,0)</f>
        <v>0</v>
      </c>
      <c r="Z121" s="54">
        <f>IF(AND($Y121&gt;0,C121=0),1,0)</f>
        <v>0</v>
      </c>
      <c r="AA121" s="54">
        <f t="shared" si="70"/>
        <v>0</v>
      </c>
      <c r="AB121" s="54">
        <f>IF(AND(Y121&gt;0,NOT(ISTEXT(D121))),1,0)</f>
        <v>0</v>
      </c>
      <c r="AC121" s="54">
        <f t="shared" si="71"/>
        <v>0</v>
      </c>
      <c r="AD121" s="54">
        <f t="shared" si="72"/>
        <v>0</v>
      </c>
      <c r="AE121" s="54">
        <f t="shared" si="73"/>
        <v>0</v>
      </c>
      <c r="AF121" s="54">
        <f>IF(ISBLANK($I121),0,IF($J121&gt;VLOOKUP($I121,Meal_limits,IF($C$121&gt;Old_meal_rates_end_date,4,2),0),1,0))</f>
        <v>0</v>
      </c>
      <c r="AG121" s="54">
        <f>IF(ISBLANK($I121),0,IF($J121&gt;VLOOKUP($I121,Meal_limits,IF($C$121&gt;Old_meal_rates_end_date,5,3),0),1,0))</f>
        <v>0</v>
      </c>
      <c r="AH121" s="54">
        <f t="shared" si="74"/>
        <v>0</v>
      </c>
      <c r="AI121" s="54">
        <v>1</v>
      </c>
    </row>
    <row r="122" spans="1:35" ht="12" customHeight="1" x14ac:dyDescent="0.2">
      <c r="A122" s="167">
        <f t="shared" ref="A122" si="85">A121</f>
        <v>0</v>
      </c>
      <c r="B122" s="151"/>
      <c r="C122" s="198"/>
      <c r="D122" s="187"/>
      <c r="E122" s="184"/>
      <c r="F122" s="187"/>
      <c r="G122" s="187"/>
      <c r="H122" s="52"/>
      <c r="I122" s="15"/>
      <c r="J122" s="115"/>
      <c r="K122" s="190"/>
      <c r="L122" s="116"/>
      <c r="M122" s="117"/>
      <c r="N122" s="205"/>
      <c r="O122" s="135"/>
      <c r="P122" s="19"/>
      <c r="Q122" s="50"/>
      <c r="R122" s="50"/>
      <c r="S122" s="50"/>
      <c r="T122" s="50"/>
      <c r="U122" s="50"/>
      <c r="V122" s="50"/>
      <c r="W122" s="19"/>
      <c r="Y122" s="53">
        <f>IF(OR(C$121&lt;&gt;0,E122&lt;&gt;0,J122&lt;&gt;0,K122&lt;&gt;0,M122&lt;&gt;0),1,0)</f>
        <v>0</v>
      </c>
      <c r="Z122" s="96">
        <v>0</v>
      </c>
      <c r="AA122" s="54">
        <f t="shared" si="70"/>
        <v>0</v>
      </c>
      <c r="AB122" s="96">
        <v>0</v>
      </c>
      <c r="AC122" s="54">
        <f t="shared" si="71"/>
        <v>0</v>
      </c>
      <c r="AD122" s="54">
        <f t="shared" si="72"/>
        <v>0</v>
      </c>
      <c r="AE122" s="54">
        <f t="shared" si="73"/>
        <v>0</v>
      </c>
      <c r="AF122" s="54">
        <f>IF(ISBLANK($I1123),0,IF($J1123&gt;VLOOKUP($I1123,Meal_limits,IF($C$121&gt;Old_meal_rates_end_date,4,2),0),1,0))</f>
        <v>0</v>
      </c>
      <c r="AG122" s="54">
        <f>IF(ISBLANK($I1123),0,IF($J1123&gt;VLOOKUP($I1123,Meal_limits,IF($C$121&gt;Old_meal_rates_end_date,5,3),0),1,0))</f>
        <v>0</v>
      </c>
      <c r="AH122" s="54">
        <f t="shared" si="74"/>
        <v>0</v>
      </c>
      <c r="AI122" s="54">
        <v>1</v>
      </c>
    </row>
    <row r="123" spans="1:35" ht="12" customHeight="1" x14ac:dyDescent="0.2">
      <c r="A123" s="168">
        <f t="shared" ref="A123" si="86">A121</f>
        <v>0</v>
      </c>
      <c r="B123" s="151"/>
      <c r="C123" s="199"/>
      <c r="D123" s="188"/>
      <c r="E123" s="185"/>
      <c r="F123" s="188"/>
      <c r="G123" s="188"/>
      <c r="H123" s="52"/>
      <c r="I123" s="144"/>
      <c r="J123" s="118"/>
      <c r="K123" s="191"/>
      <c r="L123" s="119"/>
      <c r="M123" s="120"/>
      <c r="N123" s="205"/>
      <c r="O123" s="135"/>
      <c r="P123" s="19"/>
      <c r="Q123" s="50"/>
      <c r="R123" s="50"/>
      <c r="S123" s="50"/>
      <c r="T123" s="50"/>
      <c r="U123" s="50"/>
      <c r="V123" s="50"/>
      <c r="W123" s="19"/>
      <c r="Y123" s="53">
        <f>IF(OR(C$121&lt;&gt;0,E123&lt;&gt;0,J123&lt;&gt;0,K123&lt;&gt;0,M123&lt;&gt;0),1,0)</f>
        <v>0</v>
      </c>
      <c r="Z123" s="96">
        <v>0</v>
      </c>
      <c r="AA123" s="54">
        <f t="shared" si="70"/>
        <v>0</v>
      </c>
      <c r="AB123" s="96">
        <v>0</v>
      </c>
      <c r="AC123" s="54">
        <f t="shared" si="71"/>
        <v>0</v>
      </c>
      <c r="AD123" s="54">
        <f t="shared" si="72"/>
        <v>0</v>
      </c>
      <c r="AE123" s="54">
        <f t="shared" si="73"/>
        <v>0</v>
      </c>
      <c r="AF123" s="54">
        <f>IF(ISBLANK($I123),0,IF($J123&gt;VLOOKUP($I123,Meal_limits,IF($C$121&gt;Old_meal_rates_end_date,4,2),0),1,0))</f>
        <v>0</v>
      </c>
      <c r="AG123" s="54">
        <f>IF(ISBLANK($I123),0,IF($J123&gt;VLOOKUP($I123,Meal_limits,IF($C$121&gt;Old_meal_rates_end_date,5,3),0),1,0))</f>
        <v>0</v>
      </c>
      <c r="AH123" s="54">
        <f t="shared" si="74"/>
        <v>0</v>
      </c>
      <c r="AI123" s="54">
        <v>1</v>
      </c>
    </row>
    <row r="124" spans="1:35" ht="12" customHeight="1" x14ac:dyDescent="0.2">
      <c r="A124" s="166">
        <f t="shared" si="63"/>
        <v>0</v>
      </c>
      <c r="B124" s="151">
        <v>39</v>
      </c>
      <c r="C124" s="197"/>
      <c r="D124" s="200"/>
      <c r="E124" s="183"/>
      <c r="F124" s="186"/>
      <c r="G124" s="186"/>
      <c r="H124" s="52"/>
      <c r="I124" s="17"/>
      <c r="J124" s="16"/>
      <c r="K124" s="189"/>
      <c r="L124" s="121"/>
      <c r="M124" s="114"/>
      <c r="N124" s="205"/>
      <c r="O124" s="135"/>
      <c r="P124" s="19"/>
      <c r="Q124" s="50"/>
      <c r="R124" s="50"/>
      <c r="S124" s="50"/>
      <c r="T124" s="50"/>
      <c r="U124" s="50"/>
      <c r="V124" s="50"/>
      <c r="W124" s="19"/>
      <c r="Y124" s="53">
        <f>IF(OR(C$124&lt;&gt;0,E124&lt;&gt;0,J124&lt;&gt;0,K124&lt;&gt;0,M124&lt;&gt;0),1,0)</f>
        <v>0</v>
      </c>
      <c r="Z124" s="54">
        <f>IF(AND($Y124&gt;0,C124=0),1,0)</f>
        <v>0</v>
      </c>
      <c r="AA124" s="54">
        <f t="shared" si="70"/>
        <v>0</v>
      </c>
      <c r="AB124" s="54">
        <f>IF(AND(Y124&gt;0,NOT(ISTEXT(D124))),1,0)</f>
        <v>0</v>
      </c>
      <c r="AC124" s="54">
        <f t="shared" si="71"/>
        <v>0</v>
      </c>
      <c r="AD124" s="54">
        <f t="shared" si="72"/>
        <v>0</v>
      </c>
      <c r="AE124" s="54">
        <f t="shared" si="73"/>
        <v>0</v>
      </c>
      <c r="AF124" s="54">
        <f>IF(ISBLANK($I124),0,IF($J124&gt;VLOOKUP($I124,Meal_limits,IF($C$124&gt;Old_meal_rates_end_date,4,2),0),1,0))</f>
        <v>0</v>
      </c>
      <c r="AG124" s="54">
        <f>IF(ISBLANK($I124),0,IF($J124&gt;VLOOKUP($I124,Meal_limits,IF($C$124&gt;Old_meal_rates_end_date,5,3),0),1,0))</f>
        <v>0</v>
      </c>
      <c r="AH124" s="54">
        <f t="shared" si="74"/>
        <v>0</v>
      </c>
      <c r="AI124" s="54">
        <v>1</v>
      </c>
    </row>
    <row r="125" spans="1:35" ht="12" customHeight="1" x14ac:dyDescent="0.2">
      <c r="A125" s="167">
        <f t="shared" ref="A125" si="87">A124</f>
        <v>0</v>
      </c>
      <c r="B125" s="151"/>
      <c r="C125" s="198"/>
      <c r="D125" s="254"/>
      <c r="E125" s="184"/>
      <c r="F125" s="187"/>
      <c r="G125" s="187"/>
      <c r="H125" s="52"/>
      <c r="I125" s="15"/>
      <c r="J125" s="115"/>
      <c r="K125" s="190"/>
      <c r="L125" s="116"/>
      <c r="M125" s="117"/>
      <c r="N125" s="205"/>
      <c r="O125" s="135"/>
      <c r="P125" s="19"/>
      <c r="Q125" s="50"/>
      <c r="R125" s="50"/>
      <c r="S125" s="50"/>
      <c r="T125" s="50"/>
      <c r="U125" s="50"/>
      <c r="V125" s="50"/>
      <c r="W125" s="19"/>
      <c r="Y125" s="53">
        <f>IF(OR(C$124&lt;&gt;0,E125&lt;&gt;0,J125&lt;&gt;0,K125&lt;&gt;0,M125&lt;&gt;0),1,0)</f>
        <v>0</v>
      </c>
      <c r="Z125" s="96">
        <v>0</v>
      </c>
      <c r="AA125" s="54">
        <f t="shared" si="70"/>
        <v>0</v>
      </c>
      <c r="AB125" s="96">
        <v>0</v>
      </c>
      <c r="AC125" s="54">
        <f t="shared" si="71"/>
        <v>0</v>
      </c>
      <c r="AD125" s="54">
        <f t="shared" si="72"/>
        <v>0</v>
      </c>
      <c r="AE125" s="54">
        <f t="shared" si="73"/>
        <v>0</v>
      </c>
      <c r="AF125" s="54">
        <f>IF(ISBLANK($I125),0,IF($J125&gt;VLOOKUP($I125,Meal_limits,IF($C$124&gt;Old_meal_rates_end_date,4,2),0),1,0))</f>
        <v>0</v>
      </c>
      <c r="AG125" s="54">
        <f>IF(ISBLANK($I125),0,IF($J125&gt;VLOOKUP($I125,Meal_limits,IF($C$124&gt;Old_meal_rates_end_date,5,3),0),1,0))</f>
        <v>0</v>
      </c>
      <c r="AH125" s="54">
        <f t="shared" si="74"/>
        <v>0</v>
      </c>
      <c r="AI125" s="54">
        <v>1</v>
      </c>
    </row>
    <row r="126" spans="1:35" ht="12" customHeight="1" x14ac:dyDescent="0.2">
      <c r="A126" s="168">
        <f t="shared" ref="A126" si="88">A124</f>
        <v>0</v>
      </c>
      <c r="B126" s="151"/>
      <c r="C126" s="199"/>
      <c r="D126" s="255"/>
      <c r="E126" s="185"/>
      <c r="F126" s="188"/>
      <c r="G126" s="188"/>
      <c r="H126" s="52"/>
      <c r="I126" s="144"/>
      <c r="J126" s="118"/>
      <c r="K126" s="191"/>
      <c r="L126" s="119"/>
      <c r="M126" s="120"/>
      <c r="N126" s="205"/>
      <c r="O126" s="135"/>
      <c r="P126" s="19"/>
      <c r="Q126" s="50"/>
      <c r="R126" s="50"/>
      <c r="S126" s="50"/>
      <c r="T126" s="50"/>
      <c r="U126" s="50"/>
      <c r="V126" s="50"/>
      <c r="W126" s="19"/>
      <c r="Y126" s="53">
        <f>IF(OR(C$124&lt;&gt;0,E126&lt;&gt;0,J126&lt;&gt;0,K126&lt;&gt;0,M126&lt;&gt;0),1,0)</f>
        <v>0</v>
      </c>
      <c r="Z126" s="96">
        <v>0</v>
      </c>
      <c r="AA126" s="54">
        <f t="shared" si="70"/>
        <v>0</v>
      </c>
      <c r="AB126" s="96">
        <v>0</v>
      </c>
      <c r="AC126" s="54">
        <f t="shared" si="71"/>
        <v>0</v>
      </c>
      <c r="AD126" s="54">
        <f t="shared" si="72"/>
        <v>0</v>
      </c>
      <c r="AE126" s="54">
        <f t="shared" si="73"/>
        <v>0</v>
      </c>
      <c r="AF126" s="54">
        <f>IF(ISBLANK($I126),0,IF($J126&gt;VLOOKUP($I126,Meal_limits,IF($C$124&gt;Old_meal_rates_end_date,4,2),0),1,0))</f>
        <v>0</v>
      </c>
      <c r="AG126" s="54">
        <f>IF(ISBLANK($I126),0,IF($J126&gt;VLOOKUP($I126,Meal_limits,IF($C$124&gt;Old_meal_rates_end_date,5,3),0),1,0))</f>
        <v>0</v>
      </c>
      <c r="AH126" s="54">
        <f t="shared" si="74"/>
        <v>0</v>
      </c>
      <c r="AI126" s="54">
        <v>1</v>
      </c>
    </row>
    <row r="127" spans="1:35" ht="12" customHeight="1" x14ac:dyDescent="0.2">
      <c r="A127" s="166">
        <f t="shared" si="63"/>
        <v>0</v>
      </c>
      <c r="B127" s="151">
        <v>40</v>
      </c>
      <c r="C127" s="197"/>
      <c r="D127" s="200"/>
      <c r="E127" s="183"/>
      <c r="F127" s="186"/>
      <c r="G127" s="186"/>
      <c r="H127" s="52"/>
      <c r="I127" s="17"/>
      <c r="J127" s="16"/>
      <c r="K127" s="189"/>
      <c r="L127" s="121"/>
      <c r="M127" s="114"/>
      <c r="N127" s="205"/>
      <c r="O127" s="135"/>
      <c r="P127" s="19"/>
      <c r="Q127" s="50"/>
      <c r="R127" s="50"/>
      <c r="S127" s="50"/>
      <c r="T127" s="50"/>
      <c r="U127" s="50"/>
      <c r="V127" s="50"/>
      <c r="W127" s="19"/>
      <c r="Y127" s="53">
        <f>IF(OR(C$127&lt;&gt;0,E127&lt;&gt;0,J127&lt;&gt;0,K127&lt;&gt;0,M127&lt;&gt;0),1,0)</f>
        <v>0</v>
      </c>
      <c r="Z127" s="54">
        <f>IF(AND($Y127&gt;0,C127=0),1,0)</f>
        <v>0</v>
      </c>
      <c r="AA127" s="54">
        <f t="shared" si="70"/>
        <v>0</v>
      </c>
      <c r="AB127" s="54">
        <f>IF(AND(Y127&gt;0,NOT(ISTEXT(D127))),1,0)</f>
        <v>0</v>
      </c>
      <c r="AC127" s="54">
        <f t="shared" si="71"/>
        <v>0</v>
      </c>
      <c r="AD127" s="54">
        <f t="shared" si="72"/>
        <v>0</v>
      </c>
      <c r="AE127" s="54">
        <f t="shared" si="73"/>
        <v>0</v>
      </c>
      <c r="AF127" s="54">
        <f>IF(ISBLANK($I127),0,IF($J127&gt;VLOOKUP($I127,Meal_limits,IF($C$127&gt;Old_meal_rates_end_date,4,2),0),1,0))</f>
        <v>0</v>
      </c>
      <c r="AG127" s="54">
        <f>IF(ISBLANK($I127),0,IF($J127&gt;VLOOKUP($I127,Meal_limits,IF($C$127&gt;Old_meal_rates_end_date,5,3),0),1,0))</f>
        <v>0</v>
      </c>
      <c r="AH127" s="54">
        <f t="shared" si="74"/>
        <v>0</v>
      </c>
      <c r="AI127" s="54">
        <v>1</v>
      </c>
    </row>
    <row r="128" spans="1:35" ht="12" customHeight="1" x14ac:dyDescent="0.2">
      <c r="A128" s="167">
        <f t="shared" ref="A128" si="89">A127</f>
        <v>0</v>
      </c>
      <c r="B128" s="151"/>
      <c r="C128" s="198"/>
      <c r="D128" s="187"/>
      <c r="E128" s="184"/>
      <c r="F128" s="187"/>
      <c r="G128" s="187"/>
      <c r="H128" s="52"/>
      <c r="I128" s="15"/>
      <c r="J128" s="115"/>
      <c r="K128" s="190"/>
      <c r="L128" s="116"/>
      <c r="M128" s="117"/>
      <c r="N128" s="205"/>
      <c r="O128" s="135"/>
      <c r="P128" s="19"/>
      <c r="Q128" s="50"/>
      <c r="R128" s="50"/>
      <c r="S128" s="50"/>
      <c r="T128" s="50"/>
      <c r="U128" s="50"/>
      <c r="V128" s="50"/>
      <c r="W128" s="19"/>
      <c r="Y128" s="53">
        <f>IF(OR(C$127&lt;&gt;0,E128&lt;&gt;0,J128&lt;&gt;0,K128&lt;&gt;0,M128&lt;&gt;0),1,0)</f>
        <v>0</v>
      </c>
      <c r="Z128" s="96">
        <v>0</v>
      </c>
      <c r="AA128" s="54">
        <f t="shared" si="70"/>
        <v>0</v>
      </c>
      <c r="AB128" s="96">
        <v>0</v>
      </c>
      <c r="AC128" s="54">
        <f t="shared" si="71"/>
        <v>0</v>
      </c>
      <c r="AD128" s="54">
        <f t="shared" si="72"/>
        <v>0</v>
      </c>
      <c r="AE128" s="54">
        <f t="shared" si="73"/>
        <v>0</v>
      </c>
      <c r="AF128" s="54">
        <f>IF(ISBLANK($I128),0,IF($J128&gt;VLOOKUP($I128,Meal_limits,IF($C$127&gt;Old_meal_rates_end_date,4,2),0),1,0))</f>
        <v>0</v>
      </c>
      <c r="AG128" s="54">
        <f>IF(ISBLANK($I128),0,IF($J128&gt;VLOOKUP($I128,Meal_limits,IF($C$127&gt;Old_meal_rates_end_date,5,3),0),1,0))</f>
        <v>0</v>
      </c>
      <c r="AH128" s="54">
        <f t="shared" si="74"/>
        <v>0</v>
      </c>
      <c r="AI128" s="54">
        <v>1</v>
      </c>
    </row>
    <row r="129" spans="1:35" ht="12" customHeight="1" x14ac:dyDescent="0.2">
      <c r="A129" s="168">
        <f t="shared" ref="A129" si="90">A127</f>
        <v>0</v>
      </c>
      <c r="B129" s="151"/>
      <c r="C129" s="199"/>
      <c r="D129" s="188"/>
      <c r="E129" s="185"/>
      <c r="F129" s="188"/>
      <c r="G129" s="188"/>
      <c r="H129" s="52"/>
      <c r="I129" s="144"/>
      <c r="J129" s="118"/>
      <c r="K129" s="191"/>
      <c r="L129" s="119"/>
      <c r="M129" s="120"/>
      <c r="N129" s="205"/>
      <c r="O129" s="135"/>
      <c r="P129" s="19"/>
      <c r="Q129" s="50"/>
      <c r="R129" s="50"/>
      <c r="S129" s="50"/>
      <c r="T129" s="50"/>
      <c r="U129" s="50"/>
      <c r="V129" s="50"/>
      <c r="W129" s="19"/>
      <c r="Y129" s="53">
        <f>IF(OR(C$127&lt;&gt;0,E129&lt;&gt;0,J129&lt;&gt;0,K129&lt;&gt;0,M129&lt;&gt;0),1,0)</f>
        <v>0</v>
      </c>
      <c r="Z129" s="96">
        <v>0</v>
      </c>
      <c r="AA129" s="54">
        <f t="shared" si="70"/>
        <v>0</v>
      </c>
      <c r="AB129" s="96">
        <v>0</v>
      </c>
      <c r="AC129" s="54">
        <f t="shared" si="71"/>
        <v>0</v>
      </c>
      <c r="AD129" s="54">
        <f t="shared" si="72"/>
        <v>0</v>
      </c>
      <c r="AE129" s="54">
        <f t="shared" si="73"/>
        <v>0</v>
      </c>
      <c r="AF129" s="54">
        <f>IF(ISBLANK($I129),0,IF($J129&gt;VLOOKUP($I129,Meal_limits,IF($C$127&gt;Old_meal_rates_end_date,4,2),0),1,0))</f>
        <v>0</v>
      </c>
      <c r="AG129" s="54">
        <f>IF(ISBLANK($I129),0,IF($J129&gt;VLOOKUP($I129,Meal_limits,IF($C$127&gt;Old_meal_rates_end_date,5,3),0),1,0))</f>
        <v>0</v>
      </c>
      <c r="AH129" s="54">
        <f t="shared" si="74"/>
        <v>0</v>
      </c>
      <c r="AI129" s="54">
        <v>1</v>
      </c>
    </row>
    <row r="130" spans="1:35" ht="12" customHeight="1" x14ac:dyDescent="0.2">
      <c r="A130" s="166">
        <f t="shared" si="63"/>
        <v>0</v>
      </c>
      <c r="B130" s="151">
        <v>41</v>
      </c>
      <c r="C130" s="197"/>
      <c r="D130" s="200"/>
      <c r="E130" s="183"/>
      <c r="F130" s="186"/>
      <c r="G130" s="186"/>
      <c r="H130" s="52"/>
      <c r="I130" s="17"/>
      <c r="J130" s="16"/>
      <c r="K130" s="189"/>
      <c r="L130" s="121"/>
      <c r="M130" s="114"/>
      <c r="N130" s="205"/>
      <c r="O130" s="135"/>
      <c r="P130" s="19"/>
      <c r="Q130" s="50"/>
      <c r="R130" s="50"/>
      <c r="S130" s="50"/>
      <c r="T130" s="50"/>
      <c r="U130" s="50"/>
      <c r="V130" s="50"/>
      <c r="W130" s="19"/>
      <c r="Y130" s="53">
        <f>IF(OR(C$130&lt;&gt;0,E130&lt;&gt;0,J130&lt;&gt;0,K130&lt;&gt;0,M130&lt;&gt;0),1,0)</f>
        <v>0</v>
      </c>
      <c r="Z130" s="54">
        <f>IF(AND($Y130&gt;0,C130=0),1,0)</f>
        <v>0</v>
      </c>
      <c r="AA130" s="54">
        <f t="shared" si="70"/>
        <v>0</v>
      </c>
      <c r="AB130" s="54">
        <f>IF(AND(Y130&gt;0,NOT(ISTEXT(D130))),1,0)</f>
        <v>0</v>
      </c>
      <c r="AC130" s="54">
        <f t="shared" si="71"/>
        <v>0</v>
      </c>
      <c r="AD130" s="54">
        <f t="shared" si="72"/>
        <v>0</v>
      </c>
      <c r="AE130" s="54">
        <f t="shared" si="73"/>
        <v>0</v>
      </c>
      <c r="AF130" s="54">
        <f>IF(ISBLANK($I130),0,IF($J130&gt;VLOOKUP($I130,Meal_limits,IF($C$130&gt;Old_meal_rates_end_date,4,2),0),1,0))</f>
        <v>0</v>
      </c>
      <c r="AG130" s="54">
        <f>IF(ISBLANK($I130),0,IF($J130&gt;VLOOKUP($I130,Meal_limits,IF($C$130&gt;Old_meal_rates_end_date,5,3),0),1,0))</f>
        <v>0</v>
      </c>
      <c r="AH130" s="54">
        <f t="shared" si="74"/>
        <v>0</v>
      </c>
      <c r="AI130" s="54">
        <v>1</v>
      </c>
    </row>
    <row r="131" spans="1:35" ht="12" customHeight="1" x14ac:dyDescent="0.2">
      <c r="A131" s="167">
        <f t="shared" ref="A131" si="91">A130</f>
        <v>0</v>
      </c>
      <c r="B131" s="151"/>
      <c r="C131" s="198"/>
      <c r="D131" s="187"/>
      <c r="E131" s="184"/>
      <c r="F131" s="187"/>
      <c r="G131" s="187"/>
      <c r="H131" s="52"/>
      <c r="I131" s="15"/>
      <c r="J131" s="115"/>
      <c r="K131" s="190"/>
      <c r="L131" s="116"/>
      <c r="M131" s="117"/>
      <c r="N131" s="205"/>
      <c r="O131" s="135"/>
      <c r="P131" s="19"/>
      <c r="Q131" s="50"/>
      <c r="R131" s="50"/>
      <c r="S131" s="50"/>
      <c r="T131" s="50"/>
      <c r="U131" s="50"/>
      <c r="V131" s="50"/>
      <c r="W131" s="19"/>
      <c r="Y131" s="53">
        <f>IF(OR(C$130&lt;&gt;0,E131&lt;&gt;0,J131&lt;&gt;0,K131&lt;&gt;0,M131&lt;&gt;0),1,0)</f>
        <v>0</v>
      </c>
      <c r="Z131" s="96">
        <v>0</v>
      </c>
      <c r="AA131" s="54">
        <f t="shared" si="70"/>
        <v>0</v>
      </c>
      <c r="AB131" s="96">
        <v>0</v>
      </c>
      <c r="AC131" s="54">
        <f t="shared" si="71"/>
        <v>0</v>
      </c>
      <c r="AD131" s="54">
        <f t="shared" si="72"/>
        <v>0</v>
      </c>
      <c r="AE131" s="54">
        <f t="shared" si="73"/>
        <v>0</v>
      </c>
      <c r="AF131" s="54">
        <f>IF(ISBLANK($I131),0,IF($J131&gt;VLOOKUP($I131,Meal_limits,IF($C$130&gt;Old_meal_rates_end_date,4,2),0),1,0))</f>
        <v>0</v>
      </c>
      <c r="AG131" s="54">
        <f>IF(ISBLANK($I131),0,IF($J131&gt;VLOOKUP($I131,Meal_limits,IF($C$130&gt;Old_meal_rates_end_date,5,3),0),1,0))</f>
        <v>0</v>
      </c>
      <c r="AH131" s="54">
        <f t="shared" si="74"/>
        <v>0</v>
      </c>
      <c r="AI131" s="54">
        <v>1</v>
      </c>
    </row>
    <row r="132" spans="1:35" ht="12" customHeight="1" x14ac:dyDescent="0.2">
      <c r="A132" s="168">
        <f t="shared" ref="A132" si="92">A130</f>
        <v>0</v>
      </c>
      <c r="B132" s="151"/>
      <c r="C132" s="199"/>
      <c r="D132" s="188"/>
      <c r="E132" s="185"/>
      <c r="F132" s="188"/>
      <c r="G132" s="188"/>
      <c r="H132" s="52"/>
      <c r="I132" s="144"/>
      <c r="J132" s="118"/>
      <c r="K132" s="191"/>
      <c r="L132" s="119"/>
      <c r="M132" s="120"/>
      <c r="N132" s="205"/>
      <c r="O132" s="135"/>
      <c r="P132" s="19"/>
      <c r="Q132" s="50"/>
      <c r="R132" s="50"/>
      <c r="S132" s="50"/>
      <c r="T132" s="50"/>
      <c r="U132" s="50"/>
      <c r="V132" s="50"/>
      <c r="W132" s="19"/>
      <c r="Y132" s="53">
        <f>IF(OR(C$130&lt;&gt;0,E132&lt;&gt;0,J132&lt;&gt;0,K132&lt;&gt;0,M132&lt;&gt;0),1,0)</f>
        <v>0</v>
      </c>
      <c r="Z132" s="96">
        <v>0</v>
      </c>
      <c r="AA132" s="54">
        <f t="shared" si="70"/>
        <v>0</v>
      </c>
      <c r="AB132" s="96">
        <v>0</v>
      </c>
      <c r="AC132" s="54">
        <f t="shared" si="71"/>
        <v>0</v>
      </c>
      <c r="AD132" s="54">
        <f t="shared" si="72"/>
        <v>0</v>
      </c>
      <c r="AE132" s="54">
        <f t="shared" si="73"/>
        <v>0</v>
      </c>
      <c r="AF132" s="54">
        <f>IF(ISBLANK($I132),0,IF($J132&gt;VLOOKUP($I132,Meal_limits,IF($C$130&gt;Old_meal_rates_end_date,4,2),0),1,0))</f>
        <v>0</v>
      </c>
      <c r="AG132" s="54">
        <f>IF(ISBLANK($I132),0,IF($J132&gt;VLOOKUP($I132,Meal_limits,IF($C$130&gt;Old_meal_rates_end_date,5,3),0),1,0))</f>
        <v>0</v>
      </c>
      <c r="AH132" s="54">
        <f t="shared" si="74"/>
        <v>0</v>
      </c>
      <c r="AI132" s="54">
        <v>1</v>
      </c>
    </row>
    <row r="133" spans="1:35" ht="12" customHeight="1" x14ac:dyDescent="0.2">
      <c r="A133" s="166">
        <f t="shared" si="63"/>
        <v>0</v>
      </c>
      <c r="B133" s="151">
        <v>42</v>
      </c>
      <c r="C133" s="197"/>
      <c r="D133" s="200"/>
      <c r="E133" s="183"/>
      <c r="F133" s="186"/>
      <c r="G133" s="186"/>
      <c r="H133" s="52"/>
      <c r="I133" s="17"/>
      <c r="J133" s="16"/>
      <c r="K133" s="189"/>
      <c r="L133" s="121"/>
      <c r="M133" s="114"/>
      <c r="N133" s="205"/>
      <c r="O133" s="135"/>
      <c r="P133" s="19"/>
      <c r="Q133" s="50"/>
      <c r="R133" s="50"/>
      <c r="S133" s="50"/>
      <c r="T133" s="50"/>
      <c r="U133" s="50"/>
      <c r="V133" s="50"/>
      <c r="W133" s="19"/>
      <c r="Y133" s="53">
        <f>IF(OR(C$133&lt;&gt;0,E133&lt;&gt;0,J133&lt;&gt;0,K133&lt;&gt;0,M133&lt;&gt;0),1,0)</f>
        <v>0</v>
      </c>
      <c r="Z133" s="54">
        <f>IF(AND($Y133&gt;0,C133=0),1,0)</f>
        <v>0</v>
      </c>
      <c r="AA133" s="54">
        <f t="shared" si="70"/>
        <v>0</v>
      </c>
      <c r="AB133" s="54">
        <f>IF(AND(Y133&gt;0,NOT(ISTEXT(D133))),1,0)</f>
        <v>0</v>
      </c>
      <c r="AC133" s="54">
        <f t="shared" si="71"/>
        <v>0</v>
      </c>
      <c r="AD133" s="54">
        <f t="shared" si="72"/>
        <v>0</v>
      </c>
      <c r="AE133" s="54">
        <f t="shared" si="73"/>
        <v>0</v>
      </c>
      <c r="AF133" s="54">
        <f>IF(ISBLANK($I133),0,IF($J133&gt;VLOOKUP($I133,Meal_limits,IF($C$133&gt;Old_meal_rates_end_date,4,2),0),1,0))</f>
        <v>0</v>
      </c>
      <c r="AG133" s="54">
        <f>IF(ISBLANK($I133),0,IF($J133&gt;VLOOKUP($I133,Meal_limits,IF($C$133&gt;Old_meal_rates_end_date,5,3),0),1,0))</f>
        <v>0</v>
      </c>
      <c r="AH133" s="54">
        <f t="shared" si="74"/>
        <v>0</v>
      </c>
      <c r="AI133" s="54">
        <v>1</v>
      </c>
    </row>
    <row r="134" spans="1:35" ht="12" customHeight="1" x14ac:dyDescent="0.2">
      <c r="A134" s="167">
        <f t="shared" ref="A134" si="93">A133</f>
        <v>0</v>
      </c>
      <c r="B134" s="151"/>
      <c r="C134" s="198"/>
      <c r="D134" s="187"/>
      <c r="E134" s="184"/>
      <c r="F134" s="187"/>
      <c r="G134" s="187"/>
      <c r="H134" s="52"/>
      <c r="I134" s="15"/>
      <c r="J134" s="115"/>
      <c r="K134" s="190"/>
      <c r="L134" s="116"/>
      <c r="M134" s="117"/>
      <c r="N134" s="205"/>
      <c r="O134" s="135"/>
      <c r="P134" s="19"/>
      <c r="Q134" s="50"/>
      <c r="R134" s="50"/>
      <c r="S134" s="50"/>
      <c r="T134" s="50"/>
      <c r="U134" s="50"/>
      <c r="V134" s="50"/>
      <c r="W134" s="19"/>
      <c r="Y134" s="53">
        <f>IF(OR(C$133&lt;&gt;0,E134&lt;&gt;0,J134&lt;&gt;0,K134&lt;&gt;0,M134&lt;&gt;0),1,0)</f>
        <v>0</v>
      </c>
      <c r="Z134" s="96">
        <v>0</v>
      </c>
      <c r="AA134" s="54">
        <f t="shared" si="70"/>
        <v>0</v>
      </c>
      <c r="AB134" s="96">
        <v>0</v>
      </c>
      <c r="AC134" s="54">
        <f t="shared" si="71"/>
        <v>0</v>
      </c>
      <c r="AD134" s="54">
        <f t="shared" si="72"/>
        <v>0</v>
      </c>
      <c r="AE134" s="54">
        <f t="shared" si="73"/>
        <v>0</v>
      </c>
      <c r="AF134" s="54">
        <f>IF(ISBLANK($I134),0,IF($J134&gt;VLOOKUP($I134,Meal_limits,IF($C$133&gt;Old_meal_rates_end_date,4,2),0),1,0))</f>
        <v>0</v>
      </c>
      <c r="AG134" s="54">
        <f>IF(ISBLANK($I134),0,IF($J134&gt;VLOOKUP($I134,Meal_limits,IF($C$133&gt;Old_meal_rates_end_date,5,3),0),1,0))</f>
        <v>0</v>
      </c>
      <c r="AH134" s="54">
        <f t="shared" si="74"/>
        <v>0</v>
      </c>
      <c r="AI134" s="54">
        <v>1</v>
      </c>
    </row>
    <row r="135" spans="1:35" ht="12" customHeight="1" x14ac:dyDescent="0.2">
      <c r="A135" s="168">
        <f t="shared" ref="A135" si="94">A133</f>
        <v>0</v>
      </c>
      <c r="B135" s="151"/>
      <c r="C135" s="199"/>
      <c r="D135" s="188"/>
      <c r="E135" s="185"/>
      <c r="F135" s="188"/>
      <c r="G135" s="188"/>
      <c r="H135" s="52"/>
      <c r="I135" s="144"/>
      <c r="J135" s="118"/>
      <c r="K135" s="191"/>
      <c r="L135" s="119"/>
      <c r="M135" s="120"/>
      <c r="N135" s="205"/>
      <c r="O135" s="135"/>
      <c r="P135" s="19"/>
      <c r="Q135" s="50"/>
      <c r="R135" s="50"/>
      <c r="S135" s="50"/>
      <c r="T135" s="50"/>
      <c r="U135" s="50"/>
      <c r="V135" s="50"/>
      <c r="W135" s="19"/>
      <c r="Y135" s="53">
        <f>IF(OR(C$133&lt;&gt;0,E135&lt;&gt;0,J135&lt;&gt;0,K135&lt;&gt;0,M135&lt;&gt;0),1,0)</f>
        <v>0</v>
      </c>
      <c r="Z135" s="96">
        <v>0</v>
      </c>
      <c r="AA135" s="54">
        <f t="shared" si="70"/>
        <v>0</v>
      </c>
      <c r="AB135" s="96">
        <v>0</v>
      </c>
      <c r="AC135" s="54">
        <f t="shared" si="71"/>
        <v>0</v>
      </c>
      <c r="AD135" s="54">
        <f t="shared" si="72"/>
        <v>0</v>
      </c>
      <c r="AE135" s="54">
        <f t="shared" si="73"/>
        <v>0</v>
      </c>
      <c r="AF135" s="54">
        <f>IF(ISBLANK($I135),0,IF($J135&gt;VLOOKUP($I135,Meal_limits,IF($C$133&gt;Old_meal_rates_end_date,4,2),0),1,0))</f>
        <v>0</v>
      </c>
      <c r="AG135" s="54">
        <f>IF(ISBLANK($I135),0,IF($J135&gt;VLOOKUP($I135,Meal_limits,IF($C$133&gt;Old_meal_rates_end_date,5,3),0),1,0))</f>
        <v>0</v>
      </c>
      <c r="AH135" s="54">
        <f t="shared" si="74"/>
        <v>0</v>
      </c>
      <c r="AI135" s="54">
        <v>1</v>
      </c>
    </row>
    <row r="136" spans="1:35" ht="12" customHeight="1" x14ac:dyDescent="0.2">
      <c r="A136" s="166">
        <f t="shared" si="63"/>
        <v>0</v>
      </c>
      <c r="B136" s="151">
        <v>43</v>
      </c>
      <c r="C136" s="197"/>
      <c r="D136" s="200"/>
      <c r="E136" s="183"/>
      <c r="F136" s="186"/>
      <c r="G136" s="186"/>
      <c r="H136" s="52"/>
      <c r="I136" s="17"/>
      <c r="J136" s="16"/>
      <c r="K136" s="189"/>
      <c r="L136" s="121"/>
      <c r="M136" s="114"/>
      <c r="N136" s="205"/>
      <c r="O136" s="135"/>
      <c r="P136" s="19"/>
      <c r="Q136" s="50"/>
      <c r="R136" s="50"/>
      <c r="S136" s="50"/>
      <c r="T136" s="50"/>
      <c r="U136" s="50"/>
      <c r="V136" s="50"/>
      <c r="W136" s="19"/>
      <c r="Y136" s="53">
        <f>IF(OR(C$136&lt;&gt;0,E136&lt;&gt;0,J136&lt;&gt;0,K136&lt;&gt;0,M136&lt;&gt;0),1,0)</f>
        <v>0</v>
      </c>
      <c r="Z136" s="54">
        <f>IF(AND($Y136&gt;0,C136=0),1,0)</f>
        <v>0</v>
      </c>
      <c r="AA136" s="54">
        <f t="shared" si="70"/>
        <v>0</v>
      </c>
      <c r="AB136" s="54">
        <f>IF(AND(Y136&gt;0,NOT(ISTEXT(D136))),1,0)</f>
        <v>0</v>
      </c>
      <c r="AC136" s="54">
        <f t="shared" si="71"/>
        <v>0</v>
      </c>
      <c r="AD136" s="54">
        <f t="shared" si="72"/>
        <v>0</v>
      </c>
      <c r="AE136" s="54">
        <f t="shared" si="73"/>
        <v>0</v>
      </c>
      <c r="AF136" s="54">
        <f>IF(ISBLANK($I136),0,IF($J136&gt;VLOOKUP($I136,Meal_limits,IF($C$136&gt;Old_meal_rates_end_date,4,2),0),1,0))</f>
        <v>0</v>
      </c>
      <c r="AG136" s="54">
        <f>IF(ISBLANK($I136),0,IF($J136&gt;VLOOKUP($I136,Meal_limits,IF($C$136&gt;Old_meal_rates_end_date,5,3),0),1,0))</f>
        <v>0</v>
      </c>
      <c r="AH136" s="54">
        <f t="shared" si="74"/>
        <v>0</v>
      </c>
      <c r="AI136" s="54">
        <v>1</v>
      </c>
    </row>
    <row r="137" spans="1:35" ht="12" customHeight="1" x14ac:dyDescent="0.2">
      <c r="A137" s="167">
        <f t="shared" ref="A137" si="95">A136</f>
        <v>0</v>
      </c>
      <c r="B137" s="151"/>
      <c r="C137" s="198"/>
      <c r="D137" s="187"/>
      <c r="E137" s="184"/>
      <c r="F137" s="187"/>
      <c r="G137" s="187"/>
      <c r="H137" s="52"/>
      <c r="I137" s="15"/>
      <c r="J137" s="115"/>
      <c r="K137" s="190"/>
      <c r="L137" s="116"/>
      <c r="M137" s="117"/>
      <c r="N137" s="205"/>
      <c r="O137" s="135"/>
      <c r="P137" s="19"/>
      <c r="Q137" s="50"/>
      <c r="R137" s="50"/>
      <c r="S137" s="50"/>
      <c r="T137" s="50"/>
      <c r="U137" s="50"/>
      <c r="V137" s="50"/>
      <c r="W137" s="19"/>
      <c r="Y137" s="53">
        <f>IF(OR(C$136&lt;&gt;0,E137&lt;&gt;0,J137&lt;&gt;0,K137&lt;&gt;0,M137&lt;&gt;0),1,0)</f>
        <v>0</v>
      </c>
      <c r="Z137" s="96">
        <v>0</v>
      </c>
      <c r="AA137" s="54">
        <f t="shared" si="70"/>
        <v>0</v>
      </c>
      <c r="AB137" s="96">
        <v>0</v>
      </c>
      <c r="AC137" s="54">
        <f t="shared" si="71"/>
        <v>0</v>
      </c>
      <c r="AD137" s="54">
        <f t="shared" si="72"/>
        <v>0</v>
      </c>
      <c r="AE137" s="54">
        <f t="shared" si="73"/>
        <v>0</v>
      </c>
      <c r="AF137" s="54">
        <f>IF(ISBLANK($I137),0,IF($J137&gt;VLOOKUP($I137,Meal_limits,IF($C$136&gt;Old_meal_rates_end_date,4,2),0),1,0))</f>
        <v>0</v>
      </c>
      <c r="AG137" s="54">
        <f>IF(ISBLANK($I137),0,IF($J137&gt;VLOOKUP($I137,Meal_limits,IF($C$136&gt;Old_meal_rates_end_date,5,3),0),1,0))</f>
        <v>0</v>
      </c>
      <c r="AH137" s="54">
        <f t="shared" si="74"/>
        <v>0</v>
      </c>
      <c r="AI137" s="54">
        <v>1</v>
      </c>
    </row>
    <row r="138" spans="1:35" ht="12" customHeight="1" x14ac:dyDescent="0.2">
      <c r="A138" s="168">
        <f t="shared" ref="A138" si="96">A136</f>
        <v>0</v>
      </c>
      <c r="B138" s="151"/>
      <c r="C138" s="199"/>
      <c r="D138" s="188"/>
      <c r="E138" s="185"/>
      <c r="F138" s="188"/>
      <c r="G138" s="188"/>
      <c r="H138" s="52"/>
      <c r="I138" s="144"/>
      <c r="J138" s="118"/>
      <c r="K138" s="191"/>
      <c r="L138" s="119"/>
      <c r="M138" s="120"/>
      <c r="N138" s="205"/>
      <c r="O138" s="135"/>
      <c r="P138" s="19"/>
      <c r="Q138" s="50"/>
      <c r="R138" s="50"/>
      <c r="S138" s="50"/>
      <c r="T138" s="50"/>
      <c r="U138" s="50"/>
      <c r="V138" s="50"/>
      <c r="W138" s="19"/>
      <c r="Y138" s="53">
        <f>IF(OR(C$136&lt;&gt;0,E138&lt;&gt;0,J138&lt;&gt;0,K138&lt;&gt;0,M138&lt;&gt;0),1,0)</f>
        <v>0</v>
      </c>
      <c r="Z138" s="96">
        <v>0</v>
      </c>
      <c r="AA138" s="54">
        <f t="shared" si="70"/>
        <v>0</v>
      </c>
      <c r="AB138" s="96">
        <v>0</v>
      </c>
      <c r="AC138" s="54">
        <f t="shared" si="71"/>
        <v>0</v>
      </c>
      <c r="AD138" s="54">
        <f t="shared" si="72"/>
        <v>0</v>
      </c>
      <c r="AE138" s="54">
        <f t="shared" si="73"/>
        <v>0</v>
      </c>
      <c r="AF138" s="54">
        <f>IF(ISBLANK($I138),0,IF($J138&gt;VLOOKUP($I138,Meal_limits,IF($C$136&gt;Old_meal_rates_end_date,4,2),0),1,0))</f>
        <v>0</v>
      </c>
      <c r="AG138" s="54">
        <f>IF(ISBLANK($I138),0,IF($J138&gt;VLOOKUP($I138,Meal_limits,IF($C$136&gt;Old_meal_rates_end_date,5,3),0),1,0))</f>
        <v>0</v>
      </c>
      <c r="AH138" s="54">
        <f t="shared" si="74"/>
        <v>0</v>
      </c>
      <c r="AI138" s="54">
        <v>1</v>
      </c>
    </row>
    <row r="139" spans="1:35" ht="12" customHeight="1" x14ac:dyDescent="0.2">
      <c r="A139" s="166">
        <f t="shared" si="63"/>
        <v>0</v>
      </c>
      <c r="B139" s="151">
        <v>44</v>
      </c>
      <c r="C139" s="197"/>
      <c r="D139" s="200"/>
      <c r="E139" s="183"/>
      <c r="F139" s="186"/>
      <c r="G139" s="186"/>
      <c r="H139" s="52"/>
      <c r="I139" s="17"/>
      <c r="J139" s="16"/>
      <c r="K139" s="189"/>
      <c r="L139" s="121"/>
      <c r="M139" s="114"/>
      <c r="N139" s="205"/>
      <c r="P139" s="19"/>
      <c r="Y139" s="53">
        <f>IF(OR(C$139&lt;&gt;0,E139&lt;&gt;0,J139&lt;&gt;0,K139&lt;&gt;0,M139&lt;&gt;0),1,0)</f>
        <v>0</v>
      </c>
      <c r="Z139" s="54">
        <f>IF(AND($Y139&gt;0,C139=0),1,0)</f>
        <v>0</v>
      </c>
      <c r="AA139" s="54">
        <f t="shared" si="70"/>
        <v>0</v>
      </c>
      <c r="AB139" s="54">
        <f>IF(AND(Y139&gt;0,NOT(ISTEXT(D139))),1,0)</f>
        <v>0</v>
      </c>
      <c r="AC139" s="54">
        <f t="shared" si="71"/>
        <v>0</v>
      </c>
      <c r="AD139" s="54">
        <f t="shared" si="72"/>
        <v>0</v>
      </c>
      <c r="AE139" s="54">
        <f t="shared" si="73"/>
        <v>0</v>
      </c>
      <c r="AF139" s="54">
        <f>IF(ISBLANK($I139),0,IF($J139&gt;VLOOKUP($I139,Meal_limits,IF($C$139&gt;Old_meal_rates_end_date,4,2),0),1,0))</f>
        <v>0</v>
      </c>
      <c r="AG139" s="54">
        <f>IF(ISBLANK($I139),0,IF($J139&gt;VLOOKUP($I139,Meal_limits,IF($C$139&gt;Old_meal_rates_end_date,5,3),0),1,0))</f>
        <v>0</v>
      </c>
      <c r="AH139" s="54">
        <f t="shared" si="74"/>
        <v>0</v>
      </c>
      <c r="AI139" s="54">
        <v>1</v>
      </c>
    </row>
    <row r="140" spans="1:35" ht="12" customHeight="1" x14ac:dyDescent="0.2">
      <c r="A140" s="167">
        <f t="shared" ref="A140" si="97">A139</f>
        <v>0</v>
      </c>
      <c r="B140" s="151"/>
      <c r="C140" s="198"/>
      <c r="D140" s="187"/>
      <c r="E140" s="184"/>
      <c r="F140" s="187"/>
      <c r="G140" s="187"/>
      <c r="H140" s="52"/>
      <c r="I140" s="15"/>
      <c r="J140" s="115"/>
      <c r="K140" s="190"/>
      <c r="L140" s="116"/>
      <c r="M140" s="117"/>
      <c r="N140" s="205"/>
      <c r="P140" s="19"/>
      <c r="Y140" s="53">
        <f>IF(OR(C$139&lt;&gt;0,E140&lt;&gt;0,J140&lt;&gt;0,K140&lt;&gt;0,M140&lt;&gt;0),1,0)</f>
        <v>0</v>
      </c>
      <c r="Z140" s="96">
        <v>0</v>
      </c>
      <c r="AA140" s="54">
        <f t="shared" si="70"/>
        <v>0</v>
      </c>
      <c r="AB140" s="96">
        <v>0</v>
      </c>
      <c r="AC140" s="54">
        <f t="shared" si="71"/>
        <v>0</v>
      </c>
      <c r="AD140" s="54">
        <f t="shared" si="72"/>
        <v>0</v>
      </c>
      <c r="AE140" s="54">
        <f t="shared" si="73"/>
        <v>0</v>
      </c>
      <c r="AF140" s="54">
        <f>IF(ISBLANK($I140),0,IF($J140&gt;VLOOKUP($I140,Meal_limits,IF($C$139&gt;Old_meal_rates_end_date,4,2),0),1,0))</f>
        <v>0</v>
      </c>
      <c r="AG140" s="54">
        <f>IF(ISBLANK($I140),0,IF($J140&gt;VLOOKUP($I140,Meal_limits,IF($C$139&gt;Old_meal_rates_end_date,5,3),0),1,0))</f>
        <v>0</v>
      </c>
      <c r="AH140" s="54">
        <f t="shared" si="74"/>
        <v>0</v>
      </c>
      <c r="AI140" s="54">
        <v>1</v>
      </c>
    </row>
    <row r="141" spans="1:35" ht="12" customHeight="1" x14ac:dyDescent="0.2">
      <c r="A141" s="168">
        <f t="shared" ref="A141" si="98">A139</f>
        <v>0</v>
      </c>
      <c r="B141" s="151"/>
      <c r="C141" s="199"/>
      <c r="D141" s="188"/>
      <c r="E141" s="185"/>
      <c r="F141" s="188"/>
      <c r="G141" s="188"/>
      <c r="H141" s="52"/>
      <c r="I141" s="144"/>
      <c r="J141" s="118"/>
      <c r="K141" s="191"/>
      <c r="L141" s="119"/>
      <c r="M141" s="120"/>
      <c r="N141" s="205"/>
      <c r="P141" s="19"/>
      <c r="Y141" s="53">
        <f>IF(OR(C$139&lt;&gt;0,E141&lt;&gt;0,J141&lt;&gt;0,K141&lt;&gt;0,M141&lt;&gt;0),1,0)</f>
        <v>0</v>
      </c>
      <c r="Z141" s="96">
        <v>0</v>
      </c>
      <c r="AA141" s="54">
        <f t="shared" si="70"/>
        <v>0</v>
      </c>
      <c r="AB141" s="96">
        <v>0</v>
      </c>
      <c r="AC141" s="54">
        <f t="shared" si="71"/>
        <v>0</v>
      </c>
      <c r="AD141" s="54">
        <f t="shared" si="72"/>
        <v>0</v>
      </c>
      <c r="AE141" s="54">
        <f t="shared" si="73"/>
        <v>0</v>
      </c>
      <c r="AF141" s="54">
        <f>IF(ISBLANK($I141),0,IF($J141&gt;VLOOKUP($I141,Meal_limits,IF($C$139&gt;Old_meal_rates_end_date,4,2),0),1,0))</f>
        <v>0</v>
      </c>
      <c r="AG141" s="54">
        <f>IF(ISBLANK($I141),0,IF($J141&gt;VLOOKUP($I141,Meal_limits,IF($C$139&gt;Old_meal_rates_end_date,5,3),0),1,0))</f>
        <v>0</v>
      </c>
      <c r="AH141" s="54">
        <f t="shared" si="74"/>
        <v>0</v>
      </c>
      <c r="AI141" s="54">
        <v>1</v>
      </c>
    </row>
    <row r="142" spans="1:35" ht="12" customHeight="1" thickBot="1" x14ac:dyDescent="0.25">
      <c r="B142" s="151"/>
      <c r="C142" s="140"/>
      <c r="D142" s="138"/>
      <c r="E142" s="139"/>
      <c r="F142" s="137"/>
      <c r="G142" s="138"/>
      <c r="H142" s="145"/>
      <c r="I142" s="136"/>
      <c r="J142" s="115"/>
      <c r="K142" s="141"/>
      <c r="L142" s="142"/>
      <c r="M142" s="143"/>
      <c r="N142" s="205"/>
      <c r="O142" s="135"/>
      <c r="P142" s="19"/>
    </row>
    <row r="143" spans="1:35" ht="12.75" customHeight="1" x14ac:dyDescent="0.2">
      <c r="C143" s="256" t="s">
        <v>92</v>
      </c>
      <c r="D143" s="257"/>
      <c r="E143" s="235">
        <f>SUM(E10:E142)</f>
        <v>0</v>
      </c>
      <c r="F143" s="237" t="str">
        <f>IF(OR(Old_mi_rate=New_mi_rate,Old_mi_rate_miles=0),TEXT(Old_mi_rate_miles+New_mi_rate_miles,"0.0")&amp;" miles * "&amp;TEXT(New_mi_rate,"$0.000")&amp;" / mi.",IF(New_mi_rate_miles=0,TEXT(Old_mi_rate_miles,"0.0")&amp;" miles * "&amp;TEXT(Old_mi_rate,"$0.000")&amp;" / mi.",TEXT(Old_mi_rate_miles,"0.0")&amp;" miles * "&amp;TEXT(Old_mi_rate,"$0.000")&amp;" / mi."&amp;"     "&amp;TEXT(New_mi_rate_miles,"0.0")&amp;" miles * "&amp;TEXT(New_mi_rate,"$0.000")&amp;" / mi."))</f>
        <v>0.0 miles * $0.545 / mi.</v>
      </c>
      <c r="G143" s="238"/>
      <c r="I143" s="239" t="s">
        <v>93</v>
      </c>
      <c r="J143" s="240"/>
      <c r="K143" s="146" t="s">
        <v>94</v>
      </c>
      <c r="L143" s="147"/>
      <c r="M143" s="146" t="s">
        <v>95</v>
      </c>
      <c r="N143" s="252">
        <f>I144+K144+M144+ROUND(Old_mi_rate*Old_mi_rate_miles,2)+ROUND(New_mi_rate*New_mi_rate_miles,2)</f>
        <v>0</v>
      </c>
      <c r="P143" s="19"/>
      <c r="Y143" s="54"/>
    </row>
    <row r="144" spans="1:35" x14ac:dyDescent="0.2">
      <c r="C144" s="258"/>
      <c r="D144" s="259"/>
      <c r="E144" s="236"/>
      <c r="F144" s="221"/>
      <c r="G144" s="222"/>
      <c r="I144" s="241">
        <f>SUM(J10:J143)</f>
        <v>0</v>
      </c>
      <c r="J144" s="242"/>
      <c r="K144" s="60">
        <f>SUM(K10:K143)</f>
        <v>0</v>
      </c>
      <c r="L144" s="56"/>
      <c r="M144" s="60">
        <f>SUM(M10:M143)</f>
        <v>0</v>
      </c>
      <c r="N144" s="253"/>
      <c r="Y144" s="54"/>
    </row>
    <row r="145" spans="3:22" ht="15" customHeight="1" x14ac:dyDescent="0.2"/>
    <row r="146" spans="3:22" ht="18" customHeight="1" x14ac:dyDescent="0.35">
      <c r="C146" s="61" t="s">
        <v>96</v>
      </c>
      <c r="D146" s="62"/>
      <c r="E146" s="62"/>
      <c r="F146" s="62"/>
      <c r="G146" s="63"/>
      <c r="I146" s="61" t="s">
        <v>97</v>
      </c>
      <c r="J146" s="62"/>
      <c r="K146" s="62"/>
      <c r="L146" s="62"/>
      <c r="M146" s="62"/>
      <c r="N146" s="63"/>
      <c r="U146" s="64"/>
      <c r="V146" s="64"/>
    </row>
    <row r="147" spans="3:22" ht="24" customHeight="1" x14ac:dyDescent="0.35">
      <c r="C147" s="12" t="s">
        <v>98</v>
      </c>
      <c r="D147" s="65" t="s">
        <v>99</v>
      </c>
      <c r="G147" s="66"/>
      <c r="I147" s="67" t="s">
        <v>100</v>
      </c>
      <c r="K147" s="229"/>
      <c r="L147" s="229"/>
      <c r="M147" s="229"/>
      <c r="N147" s="66"/>
      <c r="U147" s="45"/>
      <c r="V147" s="45"/>
    </row>
    <row r="148" spans="3:22" ht="24" customHeight="1" x14ac:dyDescent="0.35">
      <c r="C148" s="69"/>
      <c r="D148" s="228"/>
      <c r="E148" s="229"/>
      <c r="F148" s="229"/>
      <c r="G148" s="122">
        <v>0</v>
      </c>
      <c r="I148" s="12" t="s">
        <v>98</v>
      </c>
      <c r="J148" s="70" t="s">
        <v>101</v>
      </c>
      <c r="N148" s="230" t="s">
        <v>102</v>
      </c>
      <c r="U148" s="74"/>
      <c r="V148" s="74"/>
    </row>
    <row r="149" spans="3:22" ht="24" customHeight="1" x14ac:dyDescent="0.35">
      <c r="C149" s="69"/>
      <c r="D149" s="231"/>
      <c r="E149" s="232"/>
      <c r="F149" s="232"/>
      <c r="G149" s="122">
        <v>0</v>
      </c>
      <c r="I149" s="75" t="s">
        <v>103</v>
      </c>
      <c r="J149" s="229"/>
      <c r="K149" s="229"/>
      <c r="L149" s="229"/>
      <c r="M149" s="229"/>
      <c r="N149" s="230"/>
      <c r="U149" s="74"/>
      <c r="V149" s="74"/>
    </row>
    <row r="150" spans="3:22" ht="24" customHeight="1" thickBot="1" x14ac:dyDescent="0.25">
      <c r="C150" s="12" t="s">
        <v>98</v>
      </c>
      <c r="D150" s="78" t="s">
        <v>104</v>
      </c>
      <c r="E150" s="62"/>
      <c r="F150" s="62"/>
      <c r="G150" s="66"/>
      <c r="I150" s="11" t="s">
        <v>98</v>
      </c>
      <c r="J150" s="65" t="s">
        <v>105</v>
      </c>
      <c r="N150" s="123">
        <v>0</v>
      </c>
      <c r="U150" s="74"/>
      <c r="V150" s="74"/>
    </row>
    <row r="151" spans="3:22" ht="24" customHeight="1" thickBot="1" x14ac:dyDescent="0.4">
      <c r="C151" s="69"/>
      <c r="D151" s="231"/>
      <c r="E151" s="232"/>
      <c r="F151" s="232"/>
      <c r="G151" s="122">
        <v>0</v>
      </c>
      <c r="I151" s="79"/>
      <c r="J151" s="80"/>
      <c r="K151" s="81"/>
      <c r="L151" s="81"/>
      <c r="M151" s="82" t="s">
        <v>106</v>
      </c>
      <c r="N151" s="83">
        <f>N143+N150</f>
        <v>0</v>
      </c>
      <c r="U151" s="76"/>
      <c r="V151" s="76"/>
    </row>
    <row r="152" spans="3:22" ht="6" customHeight="1" x14ac:dyDescent="0.2">
      <c r="C152" s="87"/>
      <c r="D152" s="88"/>
      <c r="E152" s="88"/>
      <c r="F152" s="88"/>
      <c r="G152" s="89"/>
      <c r="I152" s="87"/>
      <c r="J152" s="88"/>
      <c r="K152" s="88"/>
      <c r="L152" s="90"/>
      <c r="M152" s="90"/>
      <c r="N152" s="91"/>
    </row>
    <row r="153" spans="3:22" ht="6" customHeight="1" x14ac:dyDescent="0.2"/>
    <row r="154" spans="3:22" ht="12" customHeight="1" x14ac:dyDescent="0.2">
      <c r="C154" s="210" t="s">
        <v>107</v>
      </c>
      <c r="D154" s="210"/>
      <c r="E154" s="210"/>
      <c r="F154" s="210"/>
      <c r="G154" s="210"/>
      <c r="H154" s="210"/>
      <c r="I154" s="210"/>
      <c r="J154" s="210"/>
      <c r="K154" s="210"/>
      <c r="L154" s="210"/>
      <c r="M154" s="210"/>
      <c r="N154" s="210"/>
    </row>
    <row r="155" spans="3:22" ht="9.9499999999999993" customHeight="1" thickBot="1" x14ac:dyDescent="0.25">
      <c r="C155" s="210"/>
      <c r="D155" s="210"/>
      <c r="E155" s="210"/>
      <c r="F155" s="210"/>
      <c r="G155" s="210"/>
      <c r="H155" s="210"/>
      <c r="I155" s="210"/>
      <c r="J155" s="210"/>
      <c r="K155" s="210"/>
      <c r="L155" s="210"/>
      <c r="M155" s="210"/>
      <c r="N155" s="210"/>
    </row>
    <row r="156" spans="3:22" ht="18" customHeight="1" thickTop="1" x14ac:dyDescent="0.25">
      <c r="C156" s="5" t="s">
        <v>108</v>
      </c>
      <c r="D156" s="251"/>
      <c r="E156" s="251"/>
      <c r="F156" s="251"/>
      <c r="G156" s="92" t="s">
        <v>109</v>
      </c>
      <c r="I156" s="227"/>
      <c r="J156" s="227"/>
      <c r="K156" s="92" t="s">
        <v>110</v>
      </c>
      <c r="L156" s="233" t="s">
        <v>111</v>
      </c>
      <c r="M156" s="233"/>
      <c r="N156" s="93">
        <f>N151-N158-N160</f>
        <v>0</v>
      </c>
      <c r="P156" s="21" t="s">
        <v>112</v>
      </c>
      <c r="Q156" s="38"/>
      <c r="R156" s="94" t="s">
        <v>113</v>
      </c>
      <c r="S156" s="95">
        <f>DATE(VALUE(LEFT($M$2,4)),12,31)</f>
        <v>43465</v>
      </c>
    </row>
    <row r="157" spans="3:22" ht="9.9499999999999993" customHeight="1" x14ac:dyDescent="0.2">
      <c r="D157" s="250"/>
      <c r="E157" s="250"/>
      <c r="F157" s="250"/>
      <c r="G157" s="250"/>
      <c r="H157" s="250"/>
      <c r="I157" s="250"/>
      <c r="J157" s="250"/>
      <c r="K157" s="96"/>
      <c r="L157" s="226" t="s">
        <v>114</v>
      </c>
      <c r="M157" s="226"/>
      <c r="N157" s="97" t="s">
        <v>47</v>
      </c>
      <c r="P157" s="43"/>
      <c r="S157" s="44"/>
    </row>
    <row r="158" spans="3:22" ht="18" customHeight="1" x14ac:dyDescent="0.25">
      <c r="C158" s="4" t="s">
        <v>43</v>
      </c>
      <c r="D158" s="232"/>
      <c r="E158" s="232"/>
      <c r="F158" s="232"/>
      <c r="G158" s="232"/>
      <c r="H158" s="232"/>
      <c r="I158" s="232"/>
      <c r="J158" s="232"/>
      <c r="K158" s="92" t="s">
        <v>110</v>
      </c>
      <c r="L158" s="233" t="s">
        <v>111</v>
      </c>
      <c r="M158" s="233"/>
      <c r="N158" s="124">
        <v>0</v>
      </c>
      <c r="P158" s="98" t="str">
        <f>TEXT(DATE(VALUE(LEFT($M$2,4)),7,1),"mm/dd/yy")&amp;" through "&amp;TEXT(DATE(VALUE(LEFT($M$2,4)),12,31),"mm/dd/yy")</f>
        <v>07/01/18 through 12/31/18</v>
      </c>
      <c r="Q158" s="10">
        <v>0.54500000000000004</v>
      </c>
      <c r="R158" s="9">
        <f>SUMIF($C$10:$C$142,"&lt;="&amp;Old_mi_end_date,$E$10:$E$142)</f>
        <v>0</v>
      </c>
      <c r="S158" s="8"/>
    </row>
    <row r="159" spans="3:22" ht="9.9499999999999993" customHeight="1" x14ac:dyDescent="0.2">
      <c r="L159" s="226" t="s">
        <v>114</v>
      </c>
      <c r="M159" s="226"/>
      <c r="N159" s="97" t="s">
        <v>47</v>
      </c>
      <c r="P159" s="43"/>
      <c r="S159" s="44"/>
    </row>
    <row r="160" spans="3:22" ht="18" customHeight="1" thickBot="1" x14ac:dyDescent="0.3">
      <c r="C160" s="70" t="s">
        <v>115</v>
      </c>
      <c r="D160" s="88"/>
      <c r="E160" s="88"/>
      <c r="F160" s="88"/>
      <c r="G160" s="92" t="s">
        <v>109</v>
      </c>
      <c r="I160" s="234"/>
      <c r="J160" s="234"/>
      <c r="K160" s="92" t="s">
        <v>110</v>
      </c>
      <c r="L160" s="233" t="s">
        <v>111</v>
      </c>
      <c r="M160" s="233"/>
      <c r="N160" s="124"/>
      <c r="P160" s="99" t="str">
        <f>"After "&amp;TEXT(DATE(VALUE(LEFT($M$2,4)),12,31),"mm/dd/yy")</f>
        <v>After 12/31/18</v>
      </c>
      <c r="Q160" s="7">
        <v>0.54500000000000004</v>
      </c>
      <c r="R160" s="6">
        <f>SUMIF($C$10:$C$142,"&gt;"&amp;Old_mi_end_date,$E$10:$E$142)</f>
        <v>0</v>
      </c>
      <c r="S160" s="152"/>
    </row>
    <row r="161" spans="3:17" ht="9.9499999999999993" customHeight="1" thickTop="1" x14ac:dyDescent="0.2">
      <c r="C161" s="5"/>
      <c r="D161" s="226" t="s">
        <v>116</v>
      </c>
      <c r="E161" s="226"/>
      <c r="F161" s="226"/>
      <c r="G161" s="96"/>
      <c r="L161" s="226" t="s">
        <v>114</v>
      </c>
      <c r="M161" s="226"/>
      <c r="N161" s="97" t="s">
        <v>47</v>
      </c>
    </row>
    <row r="162" spans="3:17" ht="18" customHeight="1" x14ac:dyDescent="0.2">
      <c r="C162" s="100" t="s">
        <v>117</v>
      </c>
      <c r="D162" s="88"/>
      <c r="E162" s="88"/>
      <c r="F162" s="88"/>
      <c r="G162" s="92" t="s">
        <v>109</v>
      </c>
      <c r="I162" s="234"/>
      <c r="J162" s="234"/>
    </row>
    <row r="163" spans="3:17" ht="9.9499999999999993" customHeight="1" x14ac:dyDescent="0.2">
      <c r="C163" s="4"/>
      <c r="D163" s="226" t="s">
        <v>118</v>
      </c>
      <c r="E163" s="226"/>
      <c r="F163" s="226"/>
      <c r="G163" s="96"/>
      <c r="H163" s="96"/>
      <c r="I163" s="96"/>
      <c r="O163" s="249" t="s">
        <v>119</v>
      </c>
    </row>
    <row r="164" spans="3:17" x14ac:dyDescent="0.2">
      <c r="C164" s="151"/>
      <c r="M164" s="101" t="s">
        <v>120</v>
      </c>
      <c r="N164" s="164">
        <v>43101</v>
      </c>
      <c r="O164" s="249"/>
      <c r="P164" s="102"/>
      <c r="Q164" s="102"/>
    </row>
    <row r="165" spans="3:17" x14ac:dyDescent="0.2">
      <c r="O165" s="249"/>
    </row>
    <row r="166" spans="3:17" ht="13.5" thickBot="1" x14ac:dyDescent="0.25"/>
    <row r="167" spans="3:17" x14ac:dyDescent="0.2">
      <c r="C167" s="18"/>
      <c r="D167" s="125" t="s">
        <v>121</v>
      </c>
      <c r="E167" s="126"/>
      <c r="F167" s="127"/>
    </row>
    <row r="168" spans="3:17" x14ac:dyDescent="0.2">
      <c r="C168" s="103"/>
      <c r="D168" s="128" t="s">
        <v>122</v>
      </c>
      <c r="E168" s="104"/>
      <c r="F168" s="129" t="s">
        <v>123</v>
      </c>
    </row>
    <row r="169" spans="3:17" x14ac:dyDescent="0.2">
      <c r="C169" s="103"/>
      <c r="D169" s="128" t="s">
        <v>124</v>
      </c>
      <c r="E169" s="104"/>
      <c r="F169" s="130">
        <v>0</v>
      </c>
    </row>
    <row r="170" spans="3:17" x14ac:dyDescent="0.2">
      <c r="C170" s="103"/>
      <c r="D170" s="128" t="s">
        <v>125</v>
      </c>
      <c r="E170" s="104"/>
      <c r="F170" s="131">
        <v>0</v>
      </c>
    </row>
    <row r="171" spans="3:17" ht="13.5" thickBot="1" x14ac:dyDescent="0.25">
      <c r="C171" s="103"/>
      <c r="D171" s="132" t="s">
        <v>126</v>
      </c>
      <c r="E171" s="133"/>
      <c r="F171" s="134">
        <v>0</v>
      </c>
    </row>
    <row r="174" spans="3:17" ht="15" x14ac:dyDescent="0.35">
      <c r="K174" s="105"/>
    </row>
    <row r="175" spans="3:17" ht="15" x14ac:dyDescent="0.35">
      <c r="D175" s="3"/>
    </row>
    <row r="197" spans="3:4" ht="13.5" thickBot="1" x14ac:dyDescent="0.25">
      <c r="C197" s="19" t="s">
        <v>127</v>
      </c>
      <c r="D197" s="20" t="str">
        <f ca="1">CELL("filename",$C$1)</f>
        <v>https://email4cd.sharepoint.com/sites/DO/acctg/Shared Documents/DO_FORMS/[Employee Expense Claim 2019.xlsx]Form 7027</v>
      </c>
    </row>
    <row r="198" spans="3:4" ht="13.5" thickTop="1" x14ac:dyDescent="0.2">
      <c r="C198" s="2" t="s">
        <v>98</v>
      </c>
      <c r="D198" t="s">
        <v>128</v>
      </c>
    </row>
    <row r="199" spans="3:4" ht="13.5" thickBot="1" x14ac:dyDescent="0.25">
      <c r="C199" s="1" t="s">
        <v>129</v>
      </c>
      <c r="D199" t="s">
        <v>130</v>
      </c>
    </row>
    <row r="200" spans="3:4" ht="13.5" thickTop="1" x14ac:dyDescent="0.2">
      <c r="C200" s="18" t="s">
        <v>131</v>
      </c>
      <c r="D200" s="19"/>
    </row>
    <row r="201" spans="3:4" x14ac:dyDescent="0.2">
      <c r="C201" s="19">
        <v>0</v>
      </c>
      <c r="D201" s="19" t="s">
        <v>132</v>
      </c>
    </row>
    <row r="202" spans="3:4" x14ac:dyDescent="0.2">
      <c r="C202" s="19">
        <f ca="1">IF(LEFT(D197,5)="https",1,0)</f>
        <v>1</v>
      </c>
      <c r="D202" s="106" t="s">
        <v>133</v>
      </c>
    </row>
    <row r="203" spans="3:4" x14ac:dyDescent="0.2">
      <c r="C203" s="19">
        <f ca="1">IF(AND(NOW()&gt;DATE(YEAR(Form_date_earliest),12,31),Revision_date&lt;DATE(YEAR(Form_date_earliest)+1,1,1)),1,0)</f>
        <v>0</v>
      </c>
      <c r="D203" s="106" t="s">
        <v>134</v>
      </c>
    </row>
    <row r="204" spans="3:4" x14ac:dyDescent="0.2">
      <c r="C204" s="19">
        <f>IF(OR(ISBLANK($C$2),$C$2="name"),1,0)</f>
        <v>1</v>
      </c>
      <c r="D204" s="106" t="s">
        <v>135</v>
      </c>
    </row>
    <row r="205" spans="3:4" x14ac:dyDescent="0.2">
      <c r="C205" s="19">
        <f>IF(OR(ISBLANK($G$2),$G$2="Employee ID"),1,0)</f>
        <v>1</v>
      </c>
      <c r="D205" s="106" t="s">
        <v>136</v>
      </c>
    </row>
    <row r="206" spans="3:4" x14ac:dyDescent="0.2">
      <c r="C206">
        <f>IF(SUM(Y10:AH114)=SUBTOTAL(109,Y10:AH114),0,1)</f>
        <v>0</v>
      </c>
      <c r="D206" s="106" t="s">
        <v>137</v>
      </c>
    </row>
    <row r="207" spans="3:4" x14ac:dyDescent="0.2">
      <c r="C207" s="19">
        <f>IF(MAX(Y10:Y141)&gt;0,0,1)</f>
        <v>1</v>
      </c>
      <c r="D207" s="106" t="s">
        <v>138</v>
      </c>
    </row>
    <row r="208" spans="3:4" x14ac:dyDescent="0.2">
      <c r="C208" s="19">
        <f>IF(MAX(Z10:Z141)&gt;0,1,0)</f>
        <v>0</v>
      </c>
      <c r="D208" s="106" t="s">
        <v>139</v>
      </c>
    </row>
    <row r="209" spans="2:12" x14ac:dyDescent="0.2">
      <c r="C209" s="19">
        <f>IF(MAX(AA10:AA141)&gt;0,1,0)</f>
        <v>0</v>
      </c>
      <c r="D209" s="106" t="s">
        <v>140</v>
      </c>
      <c r="K209" s="107">
        <f>DATE(VALUE(LEFT(M2,4)),7,1)</f>
        <v>43282</v>
      </c>
      <c r="L209" s="107">
        <f>DATE(VALUE(RIGHT(M2,4)),6,30)</f>
        <v>43646</v>
      </c>
    </row>
    <row r="210" spans="2:12" x14ac:dyDescent="0.2">
      <c r="C210" s="19">
        <f>IF(MAX(AB10:AB141)&gt;0,1,0)</f>
        <v>0</v>
      </c>
      <c r="D210" s="106" t="s">
        <v>141</v>
      </c>
    </row>
    <row r="211" spans="2:12" x14ac:dyDescent="0.2">
      <c r="C211" s="19">
        <f>IF(MAX(AE10:AE141)&gt;0,1,0)</f>
        <v>0</v>
      </c>
      <c r="D211" s="106" t="s">
        <v>142</v>
      </c>
    </row>
    <row r="212" spans="2:12" x14ac:dyDescent="0.2">
      <c r="C212" s="19">
        <f>IF(MAX(AC10:AC141)&gt;0,1,0)</f>
        <v>0</v>
      </c>
      <c r="D212" s="106" t="s">
        <v>143</v>
      </c>
    </row>
    <row r="213" spans="2:12" x14ac:dyDescent="0.2">
      <c r="C213" s="19">
        <f>IF(MAX(AD10:AD141)&gt;0,1,0)</f>
        <v>0</v>
      </c>
      <c r="D213" s="106" t="s">
        <v>144</v>
      </c>
    </row>
    <row r="214" spans="2:12" x14ac:dyDescent="0.2">
      <c r="C214" s="19">
        <f>IF(MAX(AF10:AF141)&gt;0,1,0)</f>
        <v>0</v>
      </c>
      <c r="D214" s="106" t="str">
        <f ca="1">"Meal amount exceed District reimbursement limits.  See Meal limits starting in cell "&amp;CELL("address",P27)&amp;"."</f>
        <v>Meal amount exceed District reimbursement limits.  See Meal limits starting in cell $P$27.</v>
      </c>
    </row>
    <row r="215" spans="2:12" x14ac:dyDescent="0.2">
      <c r="B215">
        <v>1</v>
      </c>
      <c r="C215" s="19">
        <f>IF(N156=0,-1,IF(OR(ISBLANK(L156),L156="00-00-000000-000000-00000"),1,0))</f>
        <v>-1</v>
      </c>
      <c r="D215" s="106" t="s">
        <v>145</v>
      </c>
    </row>
    <row r="216" spans="2:12" x14ac:dyDescent="0.2">
      <c r="B216">
        <v>1</v>
      </c>
      <c r="C216" s="19">
        <f>IF(C215=-1,0,IFERROR(IF(AND(LEN(L156)=25,VALUE(LEFT(L156,2))&gt;10,VALUE(LEFT(L156,2))&lt;76,VALUE(MID(L156,4,2))&gt;0,VALUE(MID(L156,7,6))&gt;101000,VALUE(MID(L156,14,6))&gt;10000,VALUE(RIGHT(L156,5))&gt;19000),0,1),1))</f>
        <v>0</v>
      </c>
      <c r="D216" s="106" t="s">
        <v>146</v>
      </c>
      <c r="I216" s="19"/>
    </row>
    <row r="217" spans="2:12" x14ac:dyDescent="0.2">
      <c r="B217">
        <v>1</v>
      </c>
      <c r="C217" s="19">
        <f>IF(AND(C215=1,N156&gt;0),1,0)</f>
        <v>0</v>
      </c>
      <c r="D217" s="106" t="s">
        <v>147</v>
      </c>
    </row>
    <row r="218" spans="2:12" x14ac:dyDescent="0.2">
      <c r="B218">
        <v>1</v>
      </c>
      <c r="C218" s="19">
        <f>IF(N156&lt;0,1,0)</f>
        <v>0</v>
      </c>
      <c r="D218" s="106" t="s">
        <v>148</v>
      </c>
    </row>
    <row r="219" spans="2:12" x14ac:dyDescent="0.2">
      <c r="B219">
        <v>2</v>
      </c>
      <c r="C219" s="19">
        <f>IF(N158=0,-1,IF(OR(ISBLANK(L158),L158="00-00-000000-000000-00000"),1,0))</f>
        <v>-1</v>
      </c>
      <c r="D219" s="106" t="s">
        <v>149</v>
      </c>
    </row>
    <row r="220" spans="2:12" x14ac:dyDescent="0.2">
      <c r="B220">
        <v>2</v>
      </c>
      <c r="C220" s="19">
        <f>IF(C219=-1,0,IFERROR(IF(AND(LEN(L158)=25,VALUE(LEFT(L158,2))&gt;10,VALUE(LEFT(L158,2))&lt;76,VALUE(MID(L158,4,2))&gt;0,VALUE(MID(L158,7,6))&gt;101000,VALUE(MID(L158,14,6))&gt;10000,VALUE(RIGHT(L158,5))&gt;19000),0,1),1))</f>
        <v>0</v>
      </c>
      <c r="D220" s="106" t="s">
        <v>150</v>
      </c>
    </row>
    <row r="221" spans="2:12" x14ac:dyDescent="0.2">
      <c r="B221">
        <v>2</v>
      </c>
      <c r="C221" s="19">
        <f>IF(AND(C219=1,N158&gt;0),1,0)</f>
        <v>0</v>
      </c>
      <c r="D221" s="106" t="s">
        <v>151</v>
      </c>
    </row>
    <row r="222" spans="2:12" x14ac:dyDescent="0.2">
      <c r="B222">
        <v>2</v>
      </c>
      <c r="C222" s="19">
        <f>IF(N158&lt;0,1,0)</f>
        <v>0</v>
      </c>
      <c r="D222" s="106" t="s">
        <v>152</v>
      </c>
    </row>
    <row r="223" spans="2:12" x14ac:dyDescent="0.2">
      <c r="B223">
        <v>3</v>
      </c>
      <c r="C223" s="19">
        <f>IF(N160=0,-1,IF(OR(ISBLANK(L160),L160="00-00-000000-000000-00000"),1,0))</f>
        <v>-1</v>
      </c>
      <c r="D223" s="106" t="s">
        <v>153</v>
      </c>
    </row>
    <row r="224" spans="2:12" x14ac:dyDescent="0.2">
      <c r="B224">
        <v>3</v>
      </c>
      <c r="C224" s="19">
        <f>IF(C223=-1,0,IFERROR(IF(AND(LEN(L160)=25,VALUE(LEFT(L160,2))&gt;10,VALUE(LEFT(L160,2))&lt;76,VALUE(MID(L160,4,2))&gt;0,VALUE(MID(L160,7,6))&gt;101000,VALUE(MID(L160,14,6))&gt;10000,VALUE(RIGHT(L160,5))&gt;19000),0,1),1))</f>
        <v>0</v>
      </c>
      <c r="D224" s="106" t="s">
        <v>154</v>
      </c>
    </row>
    <row r="225" spans="2:25" x14ac:dyDescent="0.2">
      <c r="B225">
        <v>3</v>
      </c>
      <c r="C225" s="19">
        <f>IF(AND(C223=1,N160&gt;0),1,0)</f>
        <v>0</v>
      </c>
      <c r="D225" s="106" t="s">
        <v>155</v>
      </c>
    </row>
    <row r="226" spans="2:25" x14ac:dyDescent="0.2">
      <c r="B226">
        <v>3</v>
      </c>
      <c r="C226" s="19">
        <f>IF(N160&lt;0,1,0)</f>
        <v>0</v>
      </c>
      <c r="D226" s="106" t="s">
        <v>156</v>
      </c>
    </row>
    <row r="227" spans="2:25" x14ac:dyDescent="0.2">
      <c r="C227" s="19">
        <f>IF(ROUND(N151,2)=ROUND(N156+N158+N160,2),0,1)</f>
        <v>0</v>
      </c>
      <c r="D227" s="106" t="s">
        <v>157</v>
      </c>
    </row>
    <row r="228" spans="2:25" x14ac:dyDescent="0.2">
      <c r="C228" s="19">
        <f>IF(AND(SUM(Y70:AH141)=0,SUM(AI70:AI114)=SUBTOTAL(109,AI70:AI114)),1,0)</f>
        <v>1</v>
      </c>
      <c r="D228" s="106" t="s">
        <v>158</v>
      </c>
    </row>
    <row r="229" spans="2:25" x14ac:dyDescent="0.2">
      <c r="C229" s="19">
        <f>IF(AND(C228=0,SUM(Y115:AH141)=0,SUM(AI114:AI115)=SUBTOTAL(109,AI114:AI115)),1,0)</f>
        <v>0</v>
      </c>
      <c r="D229" s="106" t="s">
        <v>159</v>
      </c>
    </row>
    <row r="230" spans="2:25" x14ac:dyDescent="0.2">
      <c r="C230" s="19">
        <f>IF(LEN(D157)&lt;5,1,0)</f>
        <v>1</v>
      </c>
      <c r="D230" s="106" t="s">
        <v>160</v>
      </c>
    </row>
    <row r="231" spans="2:25" x14ac:dyDescent="0.2">
      <c r="C231" s="19">
        <f>IF(AND(F168="no",I156&lt;100),1,0)</f>
        <v>1</v>
      </c>
      <c r="D231" s="106" t="str">
        <f ca="1">"When form is complete, enter date form summitted in cell "&amp;CELL("address",I156)&amp;"."</f>
        <v>When form is complete, enter date form summitted in cell $I$156.</v>
      </c>
    </row>
    <row r="232" spans="2:25" x14ac:dyDescent="0.2">
      <c r="C232" s="19">
        <v>1</v>
      </c>
      <c r="D232" s="106" t="s">
        <v>161</v>
      </c>
      <c r="E232" s="19" t="s">
        <v>162</v>
      </c>
    </row>
    <row r="233" spans="2:25" x14ac:dyDescent="0.2">
      <c r="C233" s="108">
        <v>0</v>
      </c>
      <c r="D233" s="109" t="s">
        <v>163</v>
      </c>
    </row>
    <row r="234" spans="2:25" x14ac:dyDescent="0.2">
      <c r="C234" s="110">
        <f>IF(OR(MAX(AG10:AG141)&gt;0,MAX(AH10:AH141)&gt;0),1,0)</f>
        <v>0</v>
      </c>
      <c r="D234" s="106" t="s">
        <v>164</v>
      </c>
      <c r="Y234" t="s">
        <v>165</v>
      </c>
    </row>
    <row r="235" spans="2:25" x14ac:dyDescent="0.2">
      <c r="C235" s="110">
        <f>IF(MAX(E10:E141)&gt;42+3,MAX(C233:C234)+1,0)</f>
        <v>0</v>
      </c>
      <c r="D235" s="106" t="s">
        <v>166</v>
      </c>
      <c r="G235" s="106"/>
      <c r="I235" s="106"/>
    </row>
    <row r="236" spans="2:25" x14ac:dyDescent="0.2">
      <c r="C236" s="110">
        <f>IF(C235&gt;0,C235+1,0)</f>
        <v>0</v>
      </c>
      <c r="D236" s="106" t="s">
        <v>167</v>
      </c>
      <c r="I236" s="106"/>
    </row>
    <row r="237" spans="2:25" x14ac:dyDescent="0.2">
      <c r="C237" s="110">
        <f>IF(OR(K144&gt;0.001,N150&gt;0.001,SUM(G148:G151)&gt;0.001),MAX(C233:C235)+1,0)</f>
        <v>0</v>
      </c>
      <c r="D237" s="106" t="s">
        <v>168</v>
      </c>
      <c r="Y237" t="s">
        <v>165</v>
      </c>
    </row>
    <row r="238" spans="2:25" x14ac:dyDescent="0.2">
      <c r="C238" s="110">
        <f>IF(MAX(AH10:AH141)&gt;0,MAX(C233:C237)+1,0)</f>
        <v>0</v>
      </c>
      <c r="D238" s="106" t="s">
        <v>169</v>
      </c>
      <c r="Y238" t="s">
        <v>165</v>
      </c>
    </row>
    <row r="239" spans="2:25" x14ac:dyDescent="0.2">
      <c r="C239" s="110">
        <f>IF(K144&gt;0,MAX(C233:C238)+1,0)</f>
        <v>0</v>
      </c>
      <c r="D239" s="106" t="s">
        <v>170</v>
      </c>
      <c r="Y239" t="s">
        <v>165</v>
      </c>
    </row>
    <row r="240" spans="2:25" ht="13.5" thickBot="1" x14ac:dyDescent="0.25">
      <c r="C240" s="111">
        <f>MAX(C233:C239)+1</f>
        <v>1</v>
      </c>
      <c r="D240" s="112" t="s">
        <v>171</v>
      </c>
      <c r="Y240" t="s">
        <v>165</v>
      </c>
    </row>
    <row r="244" spans="3:3" x14ac:dyDescent="0.2">
      <c r="C244" s="27" t="s">
        <v>172</v>
      </c>
    </row>
    <row r="245" spans="3:3" x14ac:dyDescent="0.2">
      <c r="C245" t="s">
        <v>173</v>
      </c>
    </row>
    <row r="246" spans="3:3" x14ac:dyDescent="0.2">
      <c r="C246" t="s">
        <v>6</v>
      </c>
    </row>
    <row r="247" spans="3:3" x14ac:dyDescent="0.2">
      <c r="C247" t="s">
        <v>174</v>
      </c>
    </row>
    <row r="248" spans="3:3" x14ac:dyDescent="0.2">
      <c r="C248" t="s">
        <v>175</v>
      </c>
    </row>
    <row r="249" spans="3:3" x14ac:dyDescent="0.2">
      <c r="C249" t="s">
        <v>176</v>
      </c>
    </row>
    <row r="250" spans="3:3" x14ac:dyDescent="0.2">
      <c r="C250" t="s">
        <v>177</v>
      </c>
    </row>
    <row r="251" spans="3:3" x14ac:dyDescent="0.2">
      <c r="C251" t="s">
        <v>178</v>
      </c>
    </row>
    <row r="252" spans="3:3" x14ac:dyDescent="0.2">
      <c r="C252" t="s">
        <v>179</v>
      </c>
    </row>
    <row r="253" spans="3:3" x14ac:dyDescent="0.2">
      <c r="C253" t="s">
        <v>180</v>
      </c>
    </row>
    <row r="254" spans="3:3" x14ac:dyDescent="0.2">
      <c r="C254" t="s">
        <v>181</v>
      </c>
    </row>
    <row r="255" spans="3:3" x14ac:dyDescent="0.2">
      <c r="C255" t="s">
        <v>182</v>
      </c>
    </row>
    <row r="256" spans="3:3" x14ac:dyDescent="0.2">
      <c r="C256" t="s">
        <v>183</v>
      </c>
    </row>
    <row r="257" spans="3:3" x14ac:dyDescent="0.2">
      <c r="C257" t="s">
        <v>184</v>
      </c>
    </row>
    <row r="258" spans="3:3" x14ac:dyDescent="0.2">
      <c r="C258" t="s">
        <v>185</v>
      </c>
    </row>
    <row r="259" spans="3:3" x14ac:dyDescent="0.2">
      <c r="C259" t="s">
        <v>186</v>
      </c>
    </row>
    <row r="260" spans="3:3" x14ac:dyDescent="0.2">
      <c r="C260" t="s">
        <v>187</v>
      </c>
    </row>
    <row r="261" spans="3:3" x14ac:dyDescent="0.2">
      <c r="C261" t="s">
        <v>188</v>
      </c>
    </row>
    <row r="262" spans="3:3" x14ac:dyDescent="0.2">
      <c r="C262" t="s">
        <v>189</v>
      </c>
    </row>
    <row r="263" spans="3:3" x14ac:dyDescent="0.2">
      <c r="C263" t="s">
        <v>190</v>
      </c>
    </row>
    <row r="264" spans="3:3" x14ac:dyDescent="0.2">
      <c r="C264" t="s">
        <v>191</v>
      </c>
    </row>
    <row r="265" spans="3:3" x14ac:dyDescent="0.2">
      <c r="C265" t="s">
        <v>192</v>
      </c>
    </row>
    <row r="266" spans="3:3" x14ac:dyDescent="0.2">
      <c r="C266" t="s">
        <v>193</v>
      </c>
    </row>
    <row r="267" spans="3:3" x14ac:dyDescent="0.2">
      <c r="C267" t="s">
        <v>194</v>
      </c>
    </row>
  </sheetData>
  <sheetProtection algorithmName="SHA-512" hashValue="cwlSjALffwZE7WksctwByJiIwRWQxWfsU2azfXCQ1XJ1iu+K1RK+8peeOa07Y6W037O6bRCoCKAa0DO8bMS6Gg==" saltValue="+97dbjd94ZbPP5zKYjlr3w==" spinCount="100000" sheet="1" formatRows="0" autoFilter="0"/>
  <autoFilter ref="A6:A141"/>
  <mergeCells count="323">
    <mergeCell ref="C6:C9"/>
    <mergeCell ref="D6:D9"/>
    <mergeCell ref="O163:O165"/>
    <mergeCell ref="L160:M160"/>
    <mergeCell ref="K147:M147"/>
    <mergeCell ref="L161:M161"/>
    <mergeCell ref="L159:M159"/>
    <mergeCell ref="I162:J162"/>
    <mergeCell ref="D157:J158"/>
    <mergeCell ref="L157:M157"/>
    <mergeCell ref="D156:F156"/>
    <mergeCell ref="N143:N144"/>
    <mergeCell ref="D16:D18"/>
    <mergeCell ref="E16:E18"/>
    <mergeCell ref="F16:F18"/>
    <mergeCell ref="G16:G18"/>
    <mergeCell ref="E133:E135"/>
    <mergeCell ref="F133:F135"/>
    <mergeCell ref="G133:G135"/>
    <mergeCell ref="D124:D126"/>
    <mergeCell ref="F43:F45"/>
    <mergeCell ref="G43:G45"/>
    <mergeCell ref="D28:D30"/>
    <mergeCell ref="C143:D144"/>
    <mergeCell ref="E143:E144"/>
    <mergeCell ref="F143:G144"/>
    <mergeCell ref="I143:J143"/>
    <mergeCell ref="I144:J144"/>
    <mergeCell ref="C28:C30"/>
    <mergeCell ref="C139:C141"/>
    <mergeCell ref="E139:E141"/>
    <mergeCell ref="F139:F141"/>
    <mergeCell ref="G139:G141"/>
    <mergeCell ref="D139:D141"/>
    <mergeCell ref="G130:G132"/>
    <mergeCell ref="D94:D96"/>
    <mergeCell ref="F94:F96"/>
    <mergeCell ref="G94:G96"/>
    <mergeCell ref="C91:C93"/>
    <mergeCell ref="D91:D93"/>
    <mergeCell ref="E91:E93"/>
    <mergeCell ref="F91:F93"/>
    <mergeCell ref="G91:G93"/>
    <mergeCell ref="D121:D123"/>
    <mergeCell ref="C106:C108"/>
    <mergeCell ref="D106:D108"/>
    <mergeCell ref="E106:E108"/>
    <mergeCell ref="F106:F108"/>
    <mergeCell ref="D163:F163"/>
    <mergeCell ref="I156:J156"/>
    <mergeCell ref="D161:F161"/>
    <mergeCell ref="D148:F148"/>
    <mergeCell ref="N148:N149"/>
    <mergeCell ref="D149:F149"/>
    <mergeCell ref="J149:M149"/>
    <mergeCell ref="D151:F151"/>
    <mergeCell ref="L156:M156"/>
    <mergeCell ref="L158:M158"/>
    <mergeCell ref="I160:J160"/>
    <mergeCell ref="C25:C27"/>
    <mergeCell ref="D25:D27"/>
    <mergeCell ref="C103:C105"/>
    <mergeCell ref="D103:D105"/>
    <mergeCell ref="C97:C99"/>
    <mergeCell ref="D97:D99"/>
    <mergeCell ref="E97:E99"/>
    <mergeCell ref="F97:F99"/>
    <mergeCell ref="G97:G99"/>
    <mergeCell ref="C88:C90"/>
    <mergeCell ref="D88:D90"/>
    <mergeCell ref="E88:E90"/>
    <mergeCell ref="F88:F90"/>
    <mergeCell ref="E82:E84"/>
    <mergeCell ref="F82:F84"/>
    <mergeCell ref="G82:G84"/>
    <mergeCell ref="C34:C36"/>
    <mergeCell ref="D34:D36"/>
    <mergeCell ref="E34:E36"/>
    <mergeCell ref="F34:F36"/>
    <mergeCell ref="G34:G36"/>
    <mergeCell ref="C43:C45"/>
    <mergeCell ref="D43:D45"/>
    <mergeCell ref="E43:E45"/>
    <mergeCell ref="C19:C21"/>
    <mergeCell ref="D19:D21"/>
    <mergeCell ref="E19:E21"/>
    <mergeCell ref="F19:F21"/>
    <mergeCell ref="G19:G21"/>
    <mergeCell ref="C22:C24"/>
    <mergeCell ref="C10:C12"/>
    <mergeCell ref="D10:D12"/>
    <mergeCell ref="C13:C15"/>
    <mergeCell ref="D13:D15"/>
    <mergeCell ref="C16:C18"/>
    <mergeCell ref="I6:M6"/>
    <mergeCell ref="N6:N15"/>
    <mergeCell ref="L7:M8"/>
    <mergeCell ref="I8:J9"/>
    <mergeCell ref="E28:E30"/>
    <mergeCell ref="K8:K9"/>
    <mergeCell ref="K10:K12"/>
    <mergeCell ref="K13:K15"/>
    <mergeCell ref="E10:E12"/>
    <mergeCell ref="F10:F12"/>
    <mergeCell ref="G10:G12"/>
    <mergeCell ref="E13:E15"/>
    <mergeCell ref="F13:F15"/>
    <mergeCell ref="G13:G15"/>
    <mergeCell ref="E6:G6"/>
    <mergeCell ref="K124:K126"/>
    <mergeCell ref="O7:O9"/>
    <mergeCell ref="K139:K141"/>
    <mergeCell ref="E121:E123"/>
    <mergeCell ref="K97:K99"/>
    <mergeCell ref="E25:E27"/>
    <mergeCell ref="F25:F27"/>
    <mergeCell ref="G25:G27"/>
    <mergeCell ref="K25:K27"/>
    <mergeCell ref="E103:E105"/>
    <mergeCell ref="F103:F105"/>
    <mergeCell ref="G103:G105"/>
    <mergeCell ref="K103:K105"/>
    <mergeCell ref="K16:K18"/>
    <mergeCell ref="E22:E24"/>
    <mergeCell ref="F22:F24"/>
    <mergeCell ref="G22:G24"/>
    <mergeCell ref="K22:K24"/>
    <mergeCell ref="K19:K21"/>
    <mergeCell ref="G124:G126"/>
    <mergeCell ref="O10:O12"/>
    <mergeCell ref="O13:O15"/>
    <mergeCell ref="O16:O18"/>
    <mergeCell ref="O19:O21"/>
    <mergeCell ref="E58:E60"/>
    <mergeCell ref="F58:F60"/>
    <mergeCell ref="G58:G60"/>
    <mergeCell ref="Q7:V7"/>
    <mergeCell ref="C154:N155"/>
    <mergeCell ref="C76:C78"/>
    <mergeCell ref="D76:D78"/>
    <mergeCell ref="E76:E78"/>
    <mergeCell ref="F76:F78"/>
    <mergeCell ref="G76:G78"/>
    <mergeCell ref="K76:K78"/>
    <mergeCell ref="C79:C81"/>
    <mergeCell ref="D79:D81"/>
    <mergeCell ref="E79:E81"/>
    <mergeCell ref="F79:F81"/>
    <mergeCell ref="G79:G81"/>
    <mergeCell ref="K79:K81"/>
    <mergeCell ref="C82:C84"/>
    <mergeCell ref="D82:D84"/>
    <mergeCell ref="C133:C135"/>
    <mergeCell ref="D22:D24"/>
    <mergeCell ref="E7:E9"/>
    <mergeCell ref="F7:F9"/>
    <mergeCell ref="C121:C123"/>
    <mergeCell ref="C124:C126"/>
    <mergeCell ref="E124:E126"/>
    <mergeCell ref="F124:F126"/>
    <mergeCell ref="O22:O24"/>
    <mergeCell ref="O25:O27"/>
    <mergeCell ref="C40:C42"/>
    <mergeCell ref="D40:D42"/>
    <mergeCell ref="E40:E42"/>
    <mergeCell ref="F40:F42"/>
    <mergeCell ref="G40:G42"/>
    <mergeCell ref="K40:K42"/>
    <mergeCell ref="K88:K90"/>
    <mergeCell ref="C31:C33"/>
    <mergeCell ref="D31:D33"/>
    <mergeCell ref="E31:E33"/>
    <mergeCell ref="F31:F33"/>
    <mergeCell ref="G31:G33"/>
    <mergeCell ref="C49:C51"/>
    <mergeCell ref="D49:D51"/>
    <mergeCell ref="E49:E51"/>
    <mergeCell ref="F49:F51"/>
    <mergeCell ref="G49:G51"/>
    <mergeCell ref="C58:C60"/>
    <mergeCell ref="D58:D60"/>
    <mergeCell ref="C136:C138"/>
    <mergeCell ref="E136:E138"/>
    <mergeCell ref="F136:F138"/>
    <mergeCell ref="G136:G138"/>
    <mergeCell ref="K136:K138"/>
    <mergeCell ref="D127:D129"/>
    <mergeCell ref="D130:D132"/>
    <mergeCell ref="D133:D135"/>
    <mergeCell ref="D136:D138"/>
    <mergeCell ref="C127:C129"/>
    <mergeCell ref="E127:E129"/>
    <mergeCell ref="F127:F129"/>
    <mergeCell ref="G127:G129"/>
    <mergeCell ref="K133:K135"/>
    <mergeCell ref="K127:K129"/>
    <mergeCell ref="C130:C132"/>
    <mergeCell ref="E130:E132"/>
    <mergeCell ref="F130:F132"/>
    <mergeCell ref="K130:K132"/>
    <mergeCell ref="C37:C39"/>
    <mergeCell ref="D37:D39"/>
    <mergeCell ref="E37:E39"/>
    <mergeCell ref="F37:F39"/>
    <mergeCell ref="G37:G39"/>
    <mergeCell ref="K37:K39"/>
    <mergeCell ref="C46:C48"/>
    <mergeCell ref="D46:D48"/>
    <mergeCell ref="E46:E48"/>
    <mergeCell ref="F46:F48"/>
    <mergeCell ref="G46:G48"/>
    <mergeCell ref="K46:K48"/>
    <mergeCell ref="K64:K66"/>
    <mergeCell ref="K31:K33"/>
    <mergeCell ref="K34:K36"/>
    <mergeCell ref="S27:T28"/>
    <mergeCell ref="K58:K60"/>
    <mergeCell ref="C61:C63"/>
    <mergeCell ref="D61:D63"/>
    <mergeCell ref="E61:E63"/>
    <mergeCell ref="F61:F63"/>
    <mergeCell ref="G61:G63"/>
    <mergeCell ref="K61:K63"/>
    <mergeCell ref="N27:N142"/>
    <mergeCell ref="P27:P28"/>
    <mergeCell ref="Q27:R28"/>
    <mergeCell ref="D112:D114"/>
    <mergeCell ref="E112:E114"/>
    <mergeCell ref="F112:F114"/>
    <mergeCell ref="G112:G114"/>
    <mergeCell ref="K112:K114"/>
    <mergeCell ref="C115:C117"/>
    <mergeCell ref="D115:D117"/>
    <mergeCell ref="K73:K75"/>
    <mergeCell ref="C109:C111"/>
    <mergeCell ref="D109:D111"/>
    <mergeCell ref="K49:K51"/>
    <mergeCell ref="C52:C54"/>
    <mergeCell ref="D52:D54"/>
    <mergeCell ref="E52:E54"/>
    <mergeCell ref="F52:F54"/>
    <mergeCell ref="G52:G54"/>
    <mergeCell ref="K52:K54"/>
    <mergeCell ref="C55:C57"/>
    <mergeCell ref="D55:D57"/>
    <mergeCell ref="E55:E57"/>
    <mergeCell ref="F55:F57"/>
    <mergeCell ref="G55:G57"/>
    <mergeCell ref="K55:K57"/>
    <mergeCell ref="E67:E69"/>
    <mergeCell ref="F67:F69"/>
    <mergeCell ref="G67:G69"/>
    <mergeCell ref="K67:K69"/>
    <mergeCell ref="K82:K84"/>
    <mergeCell ref="C85:C87"/>
    <mergeCell ref="C67:C69"/>
    <mergeCell ref="D67:D69"/>
    <mergeCell ref="C73:C75"/>
    <mergeCell ref="G70:G72"/>
    <mergeCell ref="K70:K72"/>
    <mergeCell ref="D73:D75"/>
    <mergeCell ref="E73:E75"/>
    <mergeCell ref="F73:F75"/>
    <mergeCell ref="G73:G75"/>
    <mergeCell ref="C70:C72"/>
    <mergeCell ref="D70:D72"/>
    <mergeCell ref="E70:E72"/>
    <mergeCell ref="F70:F72"/>
    <mergeCell ref="K121:K123"/>
    <mergeCell ref="G121:G123"/>
    <mergeCell ref="F121:F123"/>
    <mergeCell ref="E100:E102"/>
    <mergeCell ref="F100:F102"/>
    <mergeCell ref="G100:G102"/>
    <mergeCell ref="K100:K102"/>
    <mergeCell ref="K85:K87"/>
    <mergeCell ref="K94:K96"/>
    <mergeCell ref="K106:K108"/>
    <mergeCell ref="F109:F111"/>
    <mergeCell ref="G109:G111"/>
    <mergeCell ref="K109:K111"/>
    <mergeCell ref="E109:E111"/>
    <mergeCell ref="G106:G108"/>
    <mergeCell ref="K91:K93"/>
    <mergeCell ref="G88:G90"/>
    <mergeCell ref="E94:E96"/>
    <mergeCell ref="C118:C120"/>
    <mergeCell ref="D118:D120"/>
    <mergeCell ref="E118:E120"/>
    <mergeCell ref="F118:F120"/>
    <mergeCell ref="G118:G120"/>
    <mergeCell ref="K118:K120"/>
    <mergeCell ref="D85:D87"/>
    <mergeCell ref="E85:E87"/>
    <mergeCell ref="F85:F87"/>
    <mergeCell ref="G85:G87"/>
    <mergeCell ref="C112:C114"/>
    <mergeCell ref="C100:C102"/>
    <mergeCell ref="D100:D102"/>
    <mergeCell ref="B6:B9"/>
    <mergeCell ref="O3:O4"/>
    <mergeCell ref="O5:O6"/>
    <mergeCell ref="A1:A4"/>
    <mergeCell ref="C3:E3"/>
    <mergeCell ref="C2:E2"/>
    <mergeCell ref="J3:L4"/>
    <mergeCell ref="A6:A9"/>
    <mergeCell ref="E115:E117"/>
    <mergeCell ref="F115:F117"/>
    <mergeCell ref="G115:G117"/>
    <mergeCell ref="K115:K117"/>
    <mergeCell ref="K43:K45"/>
    <mergeCell ref="F28:F30"/>
    <mergeCell ref="G28:G30"/>
    <mergeCell ref="K28:K30"/>
    <mergeCell ref="G7:G9"/>
    <mergeCell ref="I7:J7"/>
    <mergeCell ref="C94:C96"/>
    <mergeCell ref="C64:C66"/>
    <mergeCell ref="D64:D66"/>
    <mergeCell ref="E64:E66"/>
    <mergeCell ref="F64:F66"/>
    <mergeCell ref="G64:G66"/>
  </mergeCells>
  <conditionalFormatting sqref="J10:J141">
    <cfRule type="expression" dxfId="9" priority="32">
      <formula>$AF10=1</formula>
    </cfRule>
  </conditionalFormatting>
  <conditionalFormatting sqref="J142">
    <cfRule type="expression" dxfId="8" priority="33">
      <formula>#REF!=1</formula>
    </cfRule>
  </conditionalFormatting>
  <conditionalFormatting sqref="C10:C12">
    <cfRule type="expression" dxfId="7" priority="9">
      <formula>$AA10=1</formula>
    </cfRule>
    <cfRule type="expression" dxfId="6" priority="10">
      <formula>$Z10=1</formula>
    </cfRule>
  </conditionalFormatting>
  <conditionalFormatting sqref="C13:C141">
    <cfRule type="expression" dxfId="5" priority="7">
      <formula>$AA13=1</formula>
    </cfRule>
    <cfRule type="expression" dxfId="4" priority="8">
      <formula>$Z13=1</formula>
    </cfRule>
  </conditionalFormatting>
  <conditionalFormatting sqref="A10:A12">
    <cfRule type="expression" dxfId="3" priority="5">
      <formula>$AA10=1</formula>
    </cfRule>
    <cfRule type="expression" dxfId="2" priority="6">
      <formula>$Z10=1</formula>
    </cfRule>
  </conditionalFormatting>
  <conditionalFormatting sqref="A13:A141">
    <cfRule type="expression" dxfId="1" priority="1">
      <formula>$AA13=1</formula>
    </cfRule>
    <cfRule type="expression" dxfId="0" priority="2">
      <formula>$Z13=1</formula>
    </cfRule>
  </conditionalFormatting>
  <dataValidations disablePrompts="1" count="5">
    <dataValidation type="list" allowBlank="1" showInputMessage="1" showErrorMessage="1" sqref="F168">
      <formula1>"yes,no"</formula1>
    </dataValidation>
    <dataValidation type="list" allowBlank="1" showInputMessage="1" showErrorMessage="1" sqref="C147 C150 I148 I150">
      <formula1>$C$198:$C$199</formula1>
    </dataValidation>
    <dataValidation type="list" allowBlank="1" showInputMessage="1" showErrorMessage="1" sqref="I10:I142">
      <formula1>$P$30:$P$32</formula1>
    </dataValidation>
    <dataValidation type="decimal" allowBlank="1" showInputMessage="1" showErrorMessage="1" sqref="J10:J141">
      <formula1>-9999.99</formula1>
      <formula2>9999.99</formula2>
    </dataValidation>
    <dataValidation type="list" allowBlank="1" showInputMessage="1" showErrorMessage="1" sqref="M2">
      <formula1>$C$245:$C$267</formula1>
    </dataValidation>
  </dataValidations>
  <pageMargins left="0.25" right="0.25" top="0.6" bottom="0.5" header="0" footer="0.25"/>
  <pageSetup scale="80" orientation="landscape" r:id="rId1"/>
  <headerFooter>
    <oddHeader xml:space="preserve">&amp;CContra Costa Community College District
</oddHeader>
    <oddFooter>&amp;L7027 (Electronic Version)&amp;C&amp;8&amp;F / &amp;A&amp;R&amp;"Arial,Bold"Page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3FD56B522D3F4AB8C2EFD92F3C8EED" ma:contentTypeVersion="4" ma:contentTypeDescription="Create a new document." ma:contentTypeScope="" ma:versionID="4a7bf0772f6eb72e4093dd188f1ef5b8">
  <xsd:schema xmlns:xsd="http://www.w3.org/2001/XMLSchema" xmlns:xs="http://www.w3.org/2001/XMLSchema" xmlns:p="http://schemas.microsoft.com/office/2006/metadata/properties" xmlns:ns2="c9cdab89-a9be-47b8-b931-d1493ec116d7" xmlns:ns3="fcd2dada-c4a3-48da-922b-cf7338b27fc5" targetNamespace="http://schemas.microsoft.com/office/2006/metadata/properties" ma:root="true" ma:fieldsID="c19ceff057f008d8dc4bbd58d6d30086" ns2:_="" ns3:_="">
    <xsd:import namespace="c9cdab89-a9be-47b8-b931-d1493ec116d7"/>
    <xsd:import namespace="fcd2dada-c4a3-48da-922b-cf7338b27f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dab89-a9be-47b8-b931-d1493ec116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2dada-c4a3-48da-922b-cf7338b27fc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EFEAB2-4EB0-4EC2-A88D-4641BF6DF6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1311AA-9582-4A8E-B2C7-17230CC22819}">
  <ds:schemaRefs>
    <ds:schemaRef ds:uri="http://schemas.microsoft.com/office/2006/metadata/properties"/>
    <ds:schemaRef ds:uri="c9cdab89-a9be-47b8-b931-d1493ec116d7"/>
    <ds:schemaRef ds:uri="http://purl.org/dc/dcmitype/"/>
    <ds:schemaRef ds:uri="fcd2dada-c4a3-48da-922b-cf7338b27fc5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8C244D8-BA6B-4E89-AC07-105A78D0C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cdab89-a9be-47b8-b931-d1493ec116d7"/>
    <ds:schemaRef ds:uri="fcd2dada-c4a3-48da-922b-cf7338b27f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Form 7027</vt:lpstr>
      <vt:lpstr>Form_date_earliest</vt:lpstr>
      <vt:lpstr>Form_date_latest</vt:lpstr>
      <vt:lpstr>Meal_limits</vt:lpstr>
      <vt:lpstr>New_mi_rate</vt:lpstr>
      <vt:lpstr>New_mi_rate_miles</vt:lpstr>
      <vt:lpstr>Old_meal_rates_end_date</vt:lpstr>
      <vt:lpstr>Old_mi_end_date</vt:lpstr>
      <vt:lpstr>Old_mi_rate</vt:lpstr>
      <vt:lpstr>Old_mi_rate_miles</vt:lpstr>
      <vt:lpstr>'Form 7027'!Print_Area</vt:lpstr>
      <vt:lpstr>'Form 7027'!Print_Titles</vt:lpstr>
      <vt:lpstr>Revision_date</vt:lpstr>
    </vt:vector>
  </TitlesOfParts>
  <Manager/>
  <Company>Contra Costa Community College District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mgroenier423</dc:creator>
  <cp:keywords/>
  <dc:description/>
  <cp:lastModifiedBy>Dave Vigo</cp:lastModifiedBy>
  <cp:revision/>
  <dcterms:created xsi:type="dcterms:W3CDTF">2014-03-12T21:52:39Z</dcterms:created>
  <dcterms:modified xsi:type="dcterms:W3CDTF">2018-07-18T23:03:29Z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0x0101003B3FD56B522D3F4AB8C2EFD92F3C8EED</vt:lpwstr>
  </property>
</Properties>
</file>