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autoCompressPictures="0"/>
  <bookViews>
    <workbookView xWindow="0" yWindow="0" windowWidth="19320" windowHeight="11760" activeTab="2"/>
  </bookViews>
  <sheets>
    <sheet name="Jan" sheetId="6" r:id="rId1"/>
    <sheet name="Feb" sheetId="9" r:id="rId2"/>
    <sheet name="Mar" sheetId="10" r:id="rId3"/>
    <sheet name="Apr" sheetId="11" r:id="rId4"/>
    <sheet name="May" sheetId="12" r:id="rId5"/>
    <sheet name="Jun" sheetId="13" r:id="rId6"/>
    <sheet name="Jul" sheetId="14" r:id="rId7"/>
    <sheet name="Aug" sheetId="15" r:id="rId8"/>
    <sheet name="Sep" sheetId="16" r:id="rId9"/>
    <sheet name="Oct" sheetId="17" r:id="rId10"/>
    <sheet name="Nov" sheetId="18" r:id="rId11"/>
    <sheet name="Dec" sheetId="19" r:id="rId12"/>
  </sheets>
  <definedNames>
    <definedName name="AprSun1">DATE(CalendarYear,4,1)-WEEKDAY(DATE(CalendarYear,4,1))+1</definedName>
    <definedName name="AugSun1">DATE(CalendarYear,8,1)-WEEKDAY(DATE(CalendarYear,8,1))+1</definedName>
    <definedName name="CalendarYear">Jan!$L$2</definedName>
    <definedName name="DecSun1">DATE(CalendarYear,12,1)-WEEKDAY(DATE(CalendarYear,12,1))+1</definedName>
    <definedName name="FebSun1">DATE(CalendarYear,2,1)-WEEKDAY(DATE(CalendarYear,2,1))+1</definedName>
    <definedName name="JanSun1">DATE(CalendarYear,1,1)-WEEKDAY(DATE(CalendarYear,1,1))+1</definedName>
    <definedName name="JulSun1">DATE(CalendarYear,7,1)-WEEKDAY(DATE(CalendarYear,7,1))+1</definedName>
    <definedName name="JunSun1">DATE(CalendarYear,6,1)-WEEKDAY(DATE(CalendarYear,6,1))+1</definedName>
    <definedName name="MarSun1">DATE(CalendarYear,3,1)-WEEKDAY(DATE(CalendarYear,3,1))+1</definedName>
    <definedName name="MaySun1">DATE(CalendarYear,5,1)-WEEKDAY(DATE(CalendarYear,5,1))+1</definedName>
    <definedName name="NovSun1">DATE(CalendarYear,11,1)-WEEKDAY(DATE(CalendarYear,11,1))+1</definedName>
    <definedName name="OctSun1">DATE(CalendarYear,10,1)-WEEKDAY(DATE(CalendarYear,10,1))+1</definedName>
    <definedName name="_xlnm.Print_Area" localSheetId="3">Apr!$A$2:$K$19</definedName>
    <definedName name="_xlnm.Print_Area" localSheetId="7">Aug!$A$2:$K$19</definedName>
    <definedName name="_xlnm.Print_Area" localSheetId="11">Dec!$A$2:$K$19</definedName>
    <definedName name="_xlnm.Print_Area" localSheetId="1">Feb!$A$2:$K$19</definedName>
    <definedName name="_xlnm.Print_Area" localSheetId="0">Jan!$A$2:$K$19</definedName>
    <definedName name="_xlnm.Print_Area" localSheetId="6">Jul!$A$2:$K$19</definedName>
    <definedName name="_xlnm.Print_Area" localSheetId="5">Jun!$A$2:$K$19</definedName>
    <definedName name="_xlnm.Print_Area" localSheetId="2">Mar!$A$2:$K$19</definedName>
    <definedName name="_xlnm.Print_Area" localSheetId="4">May!$A$2:$K$19</definedName>
    <definedName name="_xlnm.Print_Area" localSheetId="10">Nov!$A$2:$K$19</definedName>
    <definedName name="_xlnm.Print_Area" localSheetId="9">Oct!$A$2:$K$19</definedName>
    <definedName name="_xlnm.Print_Area" localSheetId="8">Sep!$A$2:$K$19</definedName>
    <definedName name="SepSun1">DATE(CalendarYear,9,1)-WEEKDAY(DATE(CalendarYear,9,1))+1</definedName>
  </definedNames>
  <calcPr calcId="125725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6"/>
  <c r="D5"/>
  <c r="B3" i="12" l="1"/>
  <c r="B3" i="13"/>
  <c r="B3" i="14"/>
  <c r="B3" i="15"/>
  <c r="B3" i="16"/>
  <c r="B3" i="17"/>
  <c r="B3" i="18"/>
  <c r="B3" i="19"/>
  <c r="C15" i="11"/>
  <c r="B15"/>
  <c r="H13"/>
  <c r="G13"/>
  <c r="F13"/>
  <c r="E13"/>
  <c r="D13"/>
  <c r="C13"/>
  <c r="B13"/>
  <c r="H11"/>
  <c r="G11"/>
  <c r="F11"/>
  <c r="E11"/>
  <c r="D11"/>
  <c r="C11"/>
  <c r="B11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C15" i="12"/>
  <c r="B15"/>
  <c r="H13"/>
  <c r="G13"/>
  <c r="F13"/>
  <c r="E13"/>
  <c r="D13"/>
  <c r="C13"/>
  <c r="B13"/>
  <c r="H11"/>
  <c r="G11"/>
  <c r="F11"/>
  <c r="E11"/>
  <c r="D11"/>
  <c r="C11"/>
  <c r="B11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C15" i="13"/>
  <c r="B15"/>
  <c r="H13"/>
  <c r="G13"/>
  <c r="F13"/>
  <c r="E13"/>
  <c r="D13"/>
  <c r="C13"/>
  <c r="B13"/>
  <c r="H11"/>
  <c r="G11"/>
  <c r="F11"/>
  <c r="E11"/>
  <c r="D11"/>
  <c r="C11"/>
  <c r="B11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C15" i="14"/>
  <c r="B15"/>
  <c r="H13"/>
  <c r="G13"/>
  <c r="F13"/>
  <c r="E13"/>
  <c r="D13"/>
  <c r="C13"/>
  <c r="B13"/>
  <c r="H11"/>
  <c r="G11"/>
  <c r="F11"/>
  <c r="E11"/>
  <c r="D11"/>
  <c r="C11"/>
  <c r="B11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C15" i="15"/>
  <c r="B15"/>
  <c r="H13"/>
  <c r="G13"/>
  <c r="F13"/>
  <c r="E13"/>
  <c r="D13"/>
  <c r="C13"/>
  <c r="B13"/>
  <c r="H11"/>
  <c r="G11"/>
  <c r="F11"/>
  <c r="E11"/>
  <c r="D11"/>
  <c r="C11"/>
  <c r="B11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C15" i="16"/>
  <c r="B15"/>
  <c r="H13"/>
  <c r="G13"/>
  <c r="F13"/>
  <c r="E13"/>
  <c r="D13"/>
  <c r="C13"/>
  <c r="B13"/>
  <c r="H11"/>
  <c r="G11"/>
  <c r="F11"/>
  <c r="E11"/>
  <c r="D11"/>
  <c r="C11"/>
  <c r="B11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C15" i="17"/>
  <c r="B15"/>
  <c r="H13"/>
  <c r="G13"/>
  <c r="F13"/>
  <c r="E13"/>
  <c r="D13"/>
  <c r="C13"/>
  <c r="B13"/>
  <c r="H11"/>
  <c r="G11"/>
  <c r="F11"/>
  <c r="E11"/>
  <c r="D11"/>
  <c r="C11"/>
  <c r="B11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C15" i="18"/>
  <c r="B15"/>
  <c r="H13"/>
  <c r="G13"/>
  <c r="F13"/>
  <c r="E13"/>
  <c r="D13"/>
  <c r="C13"/>
  <c r="B13"/>
  <c r="H11"/>
  <c r="G11"/>
  <c r="F11"/>
  <c r="E11"/>
  <c r="D11"/>
  <c r="C11"/>
  <c r="B11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C15" i="19"/>
  <c r="B15"/>
  <c r="H13"/>
  <c r="G13"/>
  <c r="F13"/>
  <c r="E13"/>
  <c r="D13"/>
  <c r="C13"/>
  <c r="B13"/>
  <c r="H11"/>
  <c r="G11"/>
  <c r="F11"/>
  <c r="E11"/>
  <c r="D11"/>
  <c r="C11"/>
  <c r="B11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B3" i="11"/>
  <c r="C15" i="10"/>
  <c r="B15"/>
  <c r="H13"/>
  <c r="G13"/>
  <c r="F13"/>
  <c r="E13"/>
  <c r="D13"/>
  <c r="C13"/>
  <c r="B13"/>
  <c r="H11"/>
  <c r="G11"/>
  <c r="F11"/>
  <c r="E11"/>
  <c r="D11"/>
  <c r="C11"/>
  <c r="B11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B3"/>
  <c r="C15" i="9"/>
  <c r="B15"/>
  <c r="H13"/>
  <c r="G13"/>
  <c r="F13"/>
  <c r="E13"/>
  <c r="D13"/>
  <c r="C13"/>
  <c r="B13"/>
  <c r="H11"/>
  <c r="G11"/>
  <c r="F11"/>
  <c r="E11"/>
  <c r="D11"/>
  <c r="C11"/>
  <c r="B11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B3"/>
  <c r="B3" i="6" l="1"/>
  <c r="C15" l="1"/>
  <c r="C5" l="1"/>
  <c r="E5"/>
  <c r="F5"/>
  <c r="G5"/>
  <c r="H5"/>
  <c r="B7"/>
  <c r="C7"/>
  <c r="D7"/>
  <c r="E7"/>
  <c r="F7"/>
  <c r="G7"/>
  <c r="H7"/>
  <c r="B9"/>
  <c r="C9"/>
  <c r="D9"/>
  <c r="E9"/>
  <c r="F9"/>
  <c r="G9"/>
  <c r="H9"/>
  <c r="B11"/>
  <c r="C11"/>
  <c r="D11"/>
  <c r="E11"/>
  <c r="F11"/>
  <c r="G11"/>
  <c r="H11"/>
  <c r="B13"/>
  <c r="C13"/>
  <c r="D13"/>
  <c r="E13"/>
  <c r="F13"/>
  <c r="G13"/>
  <c r="H13"/>
  <c r="B15"/>
</calcChain>
</file>

<file path=xl/sharedStrings.xml><?xml version="1.0" encoding="utf-8"?>
<sst xmlns="http://schemas.openxmlformats.org/spreadsheetml/2006/main" count="110" uniqueCount="16">
  <si>
    <t>MONDAY</t>
  </si>
  <si>
    <t>TUESDAY</t>
  </si>
  <si>
    <t>WEDNESDAY</t>
  </si>
  <si>
    <t>THURSDAY</t>
  </si>
  <si>
    <t>FRIDAY</t>
  </si>
  <si>
    <t>SATURDAY</t>
  </si>
  <si>
    <t>SUNDAY</t>
  </si>
  <si>
    <t>NOTES:</t>
  </si>
  <si>
    <t>SELECT YEAR:</t>
  </si>
  <si>
    <t>Last Day for Continuing good standing Student 1st counseling</t>
  </si>
  <si>
    <t>March-in-March</t>
  </si>
  <si>
    <t>2012-2013 FAFSA submission date</t>
  </si>
  <si>
    <t>Spring Break campus closed</t>
  </si>
  <si>
    <t>Begin 3rd counseling contact</t>
  </si>
  <si>
    <t>End of 3rd counseling contact</t>
  </si>
  <si>
    <r>
      <t xml:space="preserve">Mid-Semester            </t>
    </r>
    <r>
      <rPr>
        <b/>
        <u/>
        <sz val="12"/>
        <color theme="9"/>
        <rFont val="Cambria"/>
        <family val="1"/>
        <scheme val="minor"/>
      </rPr>
      <t>Progress Reports due.</t>
    </r>
    <r>
      <rPr>
        <b/>
        <sz val="12"/>
        <color theme="9"/>
        <rFont val="Cambria"/>
        <family val="1"/>
        <scheme val="minor"/>
      </rPr>
      <t xml:space="preserve">                        End of 2nd Counseling contact</t>
    </r>
  </si>
</sst>
</file>

<file path=xl/styles.xml><?xml version="1.0" encoding="utf-8"?>
<styleSheet xmlns="http://schemas.openxmlformats.org/spreadsheetml/2006/main">
  <numFmts count="3">
    <numFmt numFmtId="164" formatCode="d"/>
    <numFmt numFmtId="165" formatCode="mmmm\ yyyy"/>
    <numFmt numFmtId="166" formatCode="mmmm"/>
  </numFmts>
  <fonts count="22">
    <font>
      <sz val="12"/>
      <color theme="1"/>
      <name val="Cambria"/>
      <family val="2"/>
      <scheme val="minor"/>
    </font>
    <font>
      <b/>
      <sz val="11"/>
      <color theme="0"/>
      <name val="Cambria"/>
      <family val="2"/>
      <scheme val="minor"/>
    </font>
    <font>
      <sz val="11"/>
      <name val="Cambria"/>
      <family val="2"/>
      <scheme val="minor"/>
    </font>
    <font>
      <sz val="10"/>
      <color indexed="63"/>
      <name val="Cambria"/>
      <family val="4"/>
      <scheme val="minor"/>
    </font>
    <font>
      <sz val="10"/>
      <name val="Century Gothic"/>
      <family val="2"/>
    </font>
    <font>
      <b/>
      <sz val="28"/>
      <color theme="1" tint="0.34998626667073579"/>
      <name val="Cambria"/>
      <family val="2"/>
      <scheme val="minor"/>
    </font>
    <font>
      <sz val="28"/>
      <color theme="8" tint="-0.499984740745262"/>
      <name val="Cambria"/>
      <family val="2"/>
      <scheme val="minor"/>
    </font>
    <font>
      <sz val="11"/>
      <color theme="0" tint="-0.499984740745262"/>
      <name val="Cambria"/>
      <family val="2"/>
      <scheme val="minor"/>
    </font>
    <font>
      <u/>
      <sz val="12"/>
      <color theme="10"/>
      <name val="Cambria"/>
      <family val="2"/>
      <scheme val="minor"/>
    </font>
    <font>
      <b/>
      <sz val="11"/>
      <color theme="8"/>
      <name val="Cambria"/>
      <family val="2"/>
      <scheme val="minor"/>
    </font>
    <font>
      <sz val="40"/>
      <color theme="8"/>
      <name val="Cambria"/>
      <family val="2"/>
      <scheme val="minor"/>
    </font>
    <font>
      <sz val="11"/>
      <color theme="8"/>
      <name val="Cambria"/>
      <family val="2"/>
      <scheme val="minor"/>
    </font>
    <font>
      <sz val="24"/>
      <color theme="8"/>
      <name val="Cambria"/>
      <family val="2"/>
      <scheme val="minor"/>
    </font>
    <font>
      <b/>
      <sz val="9"/>
      <color theme="8"/>
      <name val="Cambria"/>
      <family val="2"/>
      <scheme val="minor"/>
    </font>
    <font>
      <sz val="10"/>
      <color theme="9"/>
      <name val="Cambria"/>
      <family val="2"/>
      <scheme val="minor"/>
    </font>
    <font>
      <sz val="11"/>
      <color theme="8"/>
      <name val="Cambria"/>
      <family val="1"/>
      <scheme val="minor"/>
    </font>
    <font>
      <b/>
      <sz val="11"/>
      <color theme="8"/>
      <name val="Cambria"/>
      <family val="1"/>
      <scheme val="minor"/>
    </font>
    <font>
      <b/>
      <sz val="10"/>
      <color theme="9"/>
      <name val="Cambria"/>
      <family val="1"/>
      <scheme val="minor"/>
    </font>
    <font>
      <b/>
      <sz val="11"/>
      <color theme="9"/>
      <name val="Cambria"/>
      <family val="1"/>
      <scheme val="minor"/>
    </font>
    <font>
      <b/>
      <sz val="12"/>
      <color theme="9"/>
      <name val="Cambria"/>
      <family val="1"/>
      <scheme val="minor"/>
    </font>
    <font>
      <b/>
      <sz val="11"/>
      <color rgb="FFFF0000"/>
      <name val="Cambria"/>
      <family val="1"/>
      <scheme val="minor"/>
    </font>
    <font>
      <b/>
      <u/>
      <sz val="12"/>
      <color theme="9"/>
      <name val="Cambria"/>
      <family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8"/>
      </right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</borders>
  <cellStyleXfs count="6">
    <xf numFmtId="0" fontId="0" fillId="0" borderId="0"/>
    <xf numFmtId="0" fontId="2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5" fillId="0" borderId="0" applyNumberFormat="0" applyFill="0" applyAlignment="0" applyProtection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1"/>
    <xf numFmtId="0" fontId="4" fillId="0" borderId="0" xfId="1" applyFont="1"/>
    <xf numFmtId="166" fontId="6" fillId="0" borderId="0" xfId="0" applyNumberFormat="1" applyFont="1" applyFill="1" applyBorder="1" applyAlignment="1">
      <alignment vertical="center" textRotation="90"/>
    </xf>
    <xf numFmtId="0" fontId="8" fillId="0" borderId="0" xfId="5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166" fontId="0" fillId="0" borderId="0" xfId="0" applyNumberFormat="1"/>
    <xf numFmtId="0" fontId="11" fillId="0" borderId="0" xfId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4" borderId="10" xfId="1" applyFont="1" applyFill="1" applyBorder="1" applyAlignment="1">
      <alignment horizontal="center" vertical="top" wrapText="1"/>
    </xf>
    <xf numFmtId="0" fontId="14" fillId="4" borderId="10" xfId="3" applyFont="1" applyFill="1" applyBorder="1" applyAlignment="1">
      <alignment horizontal="center" vertical="top" wrapText="1"/>
    </xf>
    <xf numFmtId="0" fontId="14" fillId="0" borderId="10" xfId="1" applyFont="1" applyFill="1" applyBorder="1" applyAlignment="1">
      <alignment horizontal="center" vertical="top" wrapText="1"/>
    </xf>
    <xf numFmtId="0" fontId="14" fillId="0" borderId="10" xfId="3" applyFont="1" applyFill="1" applyBorder="1" applyAlignment="1">
      <alignment horizontal="center" vertical="top" wrapText="1"/>
    </xf>
    <xf numFmtId="0" fontId="13" fillId="0" borderId="2" xfId="2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/>
    </xf>
    <xf numFmtId="0" fontId="13" fillId="0" borderId="4" xfId="2" applyFont="1" applyFill="1" applyBorder="1" applyAlignment="1">
      <alignment horizontal="center" vertical="center"/>
    </xf>
    <xf numFmtId="164" fontId="15" fillId="4" borderId="11" xfId="1" applyNumberFormat="1" applyFont="1" applyFill="1" applyBorder="1" applyAlignment="1">
      <alignment horizontal="left" vertical="top" wrapText="1"/>
    </xf>
    <xf numFmtId="164" fontId="15" fillId="0" borderId="11" xfId="1" applyNumberFormat="1" applyFont="1" applyFill="1" applyBorder="1" applyAlignment="1">
      <alignment horizontal="left" vertical="top" wrapText="1"/>
    </xf>
    <xf numFmtId="164" fontId="15" fillId="4" borderId="12" xfId="1" applyNumberFormat="1" applyFont="1" applyFill="1" applyBorder="1" applyAlignment="1">
      <alignment horizontal="left" vertical="top" wrapText="1"/>
    </xf>
    <xf numFmtId="164" fontId="15" fillId="0" borderId="12" xfId="1" applyNumberFormat="1" applyFont="1" applyFill="1" applyBorder="1" applyAlignment="1">
      <alignment horizontal="left" vertical="top" wrapText="1"/>
    </xf>
    <xf numFmtId="164" fontId="15" fillId="0" borderId="13" xfId="1" applyNumberFormat="1" applyFont="1" applyFill="1" applyBorder="1" applyAlignment="1">
      <alignment horizontal="left" vertical="top" wrapText="1"/>
    </xf>
    <xf numFmtId="0" fontId="9" fillId="0" borderId="14" xfId="2" applyFont="1" applyFill="1" applyBorder="1" applyAlignment="1">
      <alignment horizontal="left" vertical="top" wrapText="1"/>
    </xf>
    <xf numFmtId="0" fontId="9" fillId="0" borderId="8" xfId="2" applyFont="1" applyFill="1" applyBorder="1" applyAlignment="1">
      <alignment horizontal="left" vertical="top" wrapText="1"/>
    </xf>
    <xf numFmtId="0" fontId="9" fillId="0" borderId="9" xfId="2" applyFont="1" applyFill="1" applyBorder="1" applyAlignment="1">
      <alignment horizontal="left" vertical="top" wrapText="1"/>
    </xf>
    <xf numFmtId="164" fontId="13" fillId="0" borderId="5" xfId="2" applyNumberFormat="1" applyFont="1" applyFill="1" applyBorder="1" applyAlignment="1">
      <alignment horizontal="left" vertical="center" wrapText="1"/>
    </xf>
    <xf numFmtId="164" fontId="13" fillId="0" borderId="6" xfId="2" applyNumberFormat="1" applyFont="1" applyFill="1" applyBorder="1" applyAlignment="1">
      <alignment horizontal="left" vertical="center" wrapText="1"/>
    </xf>
    <xf numFmtId="164" fontId="13" fillId="0" borderId="7" xfId="2" applyNumberFormat="1" applyFont="1" applyFill="1" applyBorder="1" applyAlignment="1">
      <alignment horizontal="left" vertical="center" wrapText="1"/>
    </xf>
    <xf numFmtId="165" fontId="10" fillId="0" borderId="0" xfId="1" applyNumberFormat="1" applyFont="1" applyBorder="1" applyAlignment="1">
      <alignment horizontal="left" vertical="center"/>
    </xf>
    <xf numFmtId="164" fontId="16" fillId="0" borderId="12" xfId="1" applyNumberFormat="1" applyFont="1" applyFill="1" applyBorder="1" applyAlignment="1">
      <alignment horizontal="left" vertical="top" wrapText="1"/>
    </xf>
    <xf numFmtId="0" fontId="17" fillId="0" borderId="10" xfId="1" applyFont="1" applyFill="1" applyBorder="1" applyAlignment="1">
      <alignment horizontal="center" vertical="top" wrapText="1"/>
    </xf>
    <xf numFmtId="0" fontId="18" fillId="4" borderId="10" xfId="1" applyFont="1" applyFill="1" applyBorder="1" applyAlignment="1">
      <alignment horizontal="center" vertical="top" wrapText="1"/>
    </xf>
    <xf numFmtId="0" fontId="19" fillId="0" borderId="10" xfId="1" applyFont="1" applyFill="1" applyBorder="1" applyAlignment="1">
      <alignment horizontal="center" vertical="top" wrapText="1"/>
    </xf>
    <xf numFmtId="0" fontId="19" fillId="5" borderId="10" xfId="1" applyFont="1" applyFill="1" applyBorder="1" applyAlignment="1">
      <alignment horizontal="center" vertical="top" wrapText="1"/>
    </xf>
    <xf numFmtId="0" fontId="20" fillId="6" borderId="10" xfId="1" applyFont="1" applyFill="1" applyBorder="1" applyAlignment="1">
      <alignment horizontal="center" vertical="top" wrapText="1"/>
    </xf>
    <xf numFmtId="0" fontId="19" fillId="4" borderId="10" xfId="1" applyFont="1" applyFill="1" applyBorder="1" applyAlignment="1">
      <alignment horizontal="center" vertical="top" wrapText="1"/>
    </xf>
  </cellXfs>
  <cellStyles count="6">
    <cellStyle name="40% - Accent1 2" xfId="3"/>
    <cellStyle name="Accent1 2" xfId="2"/>
    <cellStyle name="Heading 1 2" xfId="4"/>
    <cellStyle name="Hyperlink" xfId="5" builtinId="8"/>
    <cellStyle name="Normal" xfId="0" builtinId="0" customBuiltin="1"/>
    <cellStyle name="Normal 2" xfId="1"/>
  </cellStyles>
  <dxfs count="11"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double">
          <color theme="6" tint="-0.24994659260841701"/>
        </top>
      </border>
    </dxf>
    <dxf>
      <font>
        <color theme="0"/>
      </font>
      <fill>
        <patternFill patternType="solid">
          <fgColor theme="4"/>
          <bgColor theme="7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 style="dashDotDot">
          <color theme="9" tint="0.59996337778862885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fill>
        <patternFill>
          <bgColor theme="0"/>
        </patternFill>
      </fill>
      <border>
        <top style="thin">
          <color theme="9"/>
        </top>
        <bottom style="thin">
          <color theme="9"/>
        </bottom>
      </border>
    </dxf>
  </dxfs>
  <tableStyles count="2" defaultTableStyle="TableStyleMedium2" defaultPivotStyle="PivotStyleLight16">
    <tableStyle name="TableStyleLight7 2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TableStyleLight9 2" pivot="0" count="4">
      <tableStyleElement type="wholeTable" dxfId="3"/>
      <tableStyleElement type="headerRow" dxfId="2"/>
      <tableStyleElement type="totalRow" dxfId="1"/>
      <tableStyleElement type="firstColumn" dxfId="0"/>
    </tableStyle>
  </tableStyles>
  <colors>
    <mruColors>
      <color rgb="FFC17529"/>
      <color rgb="FFFDFDFD"/>
      <color rgb="FFA19574"/>
      <color rgb="FFEAE8EA"/>
      <color rgb="FFEAE8E0"/>
      <color rgb="FFA1A97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564855</xdr:colOff>
      <xdr:row>1</xdr:row>
      <xdr:rowOff>161226</xdr:rowOff>
    </xdr:from>
    <xdr:to>
      <xdr:col>7</xdr:col>
      <xdr:colOff>934248</xdr:colOff>
      <xdr:row>2</xdr:row>
      <xdr:rowOff>522378</xdr:rowOff>
    </xdr:to>
    <xdr:pic>
      <xdr:nvPicPr>
        <xdr:cNvPr id="26" name="Picture 25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7500" y="360586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497634</xdr:colOff>
      <xdr:row>2</xdr:row>
      <xdr:rowOff>38100</xdr:rowOff>
    </xdr:from>
    <xdr:to>
      <xdr:col>9</xdr:col>
      <xdr:colOff>874647</xdr:colOff>
      <xdr:row>2</xdr:row>
      <xdr:rowOff>182880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70454" y="569728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497634</xdr:colOff>
      <xdr:row>18</xdr:row>
      <xdr:rowOff>40979</xdr:rowOff>
    </xdr:from>
    <xdr:to>
      <xdr:col>9</xdr:col>
      <xdr:colOff>874647</xdr:colOff>
      <xdr:row>18</xdr:row>
      <xdr:rowOff>185759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70454" y="7461619"/>
          <a:ext cx="1562100" cy="1447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566190</xdr:colOff>
      <xdr:row>1</xdr:row>
      <xdr:rowOff>157161</xdr:rowOff>
    </xdr:from>
    <xdr:to>
      <xdr:col>7</xdr:col>
      <xdr:colOff>935582</xdr:colOff>
      <xdr:row>2</xdr:row>
      <xdr:rowOff>518313</xdr:rowOff>
    </xdr:to>
    <xdr:pic>
      <xdr:nvPicPr>
        <xdr:cNvPr id="3" name="Picture 2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8835" y="356521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873811</xdr:colOff>
      <xdr:row>11</xdr:row>
      <xdr:rowOff>458972</xdr:rowOff>
    </xdr:from>
    <xdr:to>
      <xdr:col>10</xdr:col>
      <xdr:colOff>165417</xdr:colOff>
      <xdr:row>11</xdr:row>
      <xdr:rowOff>603752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435235" y="4977809"/>
          <a:ext cx="1562101" cy="144780"/>
        </a:xfrm>
        <a:prstGeom prst="rect">
          <a:avLst/>
        </a:prstGeom>
      </xdr:spPr>
    </xdr:pic>
    <xdr:clientData/>
  </xdr:twoCellAnchor>
  <xdr:twoCellAnchor>
    <xdr:from>
      <xdr:col>8</xdr:col>
      <xdr:colOff>984566</xdr:colOff>
      <xdr:row>18</xdr:row>
      <xdr:rowOff>162810</xdr:rowOff>
    </xdr:from>
    <xdr:to>
      <xdr:col>11</xdr:col>
      <xdr:colOff>98963</xdr:colOff>
      <xdr:row>19</xdr:row>
      <xdr:rowOff>41777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545990" y="7583450"/>
          <a:ext cx="1562101" cy="144780"/>
        </a:xfrm>
        <a:prstGeom prst="rect">
          <a:avLst/>
        </a:prstGeom>
      </xdr:spPr>
    </xdr:pic>
    <xdr:clientData/>
  </xdr:twoCellAnchor>
  <xdr:twoCellAnchor>
    <xdr:from>
      <xdr:col>8</xdr:col>
      <xdr:colOff>220422</xdr:colOff>
      <xdr:row>11</xdr:row>
      <xdr:rowOff>695146</xdr:rowOff>
    </xdr:from>
    <xdr:to>
      <xdr:col>11</xdr:col>
      <xdr:colOff>775292</xdr:colOff>
      <xdr:row>18</xdr:row>
      <xdr:rowOff>61056</xdr:rowOff>
    </xdr:to>
    <xdr:sp macro="" textlink="">
      <xdr:nvSpPr>
        <xdr:cNvPr id="8" name="TextBox 7"/>
        <xdr:cNvSpPr txBox="1"/>
      </xdr:nvSpPr>
      <xdr:spPr>
        <a:xfrm>
          <a:off x="8781846" y="5213983"/>
          <a:ext cx="3002574" cy="226771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2700 E. Leland Rd.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Pittsburg, CA 94565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925.439.2181, ext. 3138/3131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925.432.3904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eopsinfo@losmedanos.edu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www.losmedanos.edu</a:t>
          </a:r>
        </a:p>
        <a:p>
          <a:endParaRPr lang="en-US" sz="1100"/>
        </a:p>
      </xdr:txBody>
    </xdr:sp>
    <xdr:clientData/>
  </xdr:twoCellAnchor>
  <xdr:twoCellAnchor editAs="oneCell">
    <xdr:from>
      <xdr:col>6</xdr:col>
      <xdr:colOff>477585</xdr:colOff>
      <xdr:row>1</xdr:row>
      <xdr:rowOff>157161</xdr:rowOff>
    </xdr:from>
    <xdr:to>
      <xdr:col>8</xdr:col>
      <xdr:colOff>164811</xdr:colOff>
      <xdr:row>2</xdr:row>
      <xdr:rowOff>604873</xdr:rowOff>
    </xdr:to>
    <xdr:pic>
      <xdr:nvPicPr>
        <xdr:cNvPr id="9" name="Picture 8" descr="Los Medanos College"/>
        <xdr:cNvPicPr/>
      </xdr:nvPicPr>
      <xdr:blipFill>
        <a:blip xmlns:r="http://schemas.openxmlformats.org/officeDocument/2006/relationships" r:embed="rId3">
          <a:lum bright="18000"/>
        </a:blip>
        <a:srcRect t="24001" r="72728"/>
        <a:stretch>
          <a:fillRect/>
        </a:stretch>
      </xdr:blipFill>
      <xdr:spPr bwMode="auto">
        <a:xfrm>
          <a:off x="6668835" y="356521"/>
          <a:ext cx="2057400" cy="779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566190</xdr:colOff>
      <xdr:row>1</xdr:row>
      <xdr:rowOff>157161</xdr:rowOff>
    </xdr:from>
    <xdr:to>
      <xdr:col>7</xdr:col>
      <xdr:colOff>935582</xdr:colOff>
      <xdr:row>2</xdr:row>
      <xdr:rowOff>518313</xdr:rowOff>
    </xdr:to>
    <xdr:pic>
      <xdr:nvPicPr>
        <xdr:cNvPr id="3" name="Picture 2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8835" y="356521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862733</xdr:colOff>
      <xdr:row>11</xdr:row>
      <xdr:rowOff>425746</xdr:rowOff>
    </xdr:from>
    <xdr:to>
      <xdr:col>10</xdr:col>
      <xdr:colOff>154339</xdr:colOff>
      <xdr:row>11</xdr:row>
      <xdr:rowOff>570526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424157" y="4944583"/>
          <a:ext cx="1562101" cy="144780"/>
        </a:xfrm>
        <a:prstGeom prst="rect">
          <a:avLst/>
        </a:prstGeom>
      </xdr:spPr>
    </xdr:pic>
    <xdr:clientData/>
  </xdr:twoCellAnchor>
  <xdr:twoCellAnchor>
    <xdr:from>
      <xdr:col>8</xdr:col>
      <xdr:colOff>984566</xdr:colOff>
      <xdr:row>18</xdr:row>
      <xdr:rowOff>151735</xdr:rowOff>
    </xdr:from>
    <xdr:to>
      <xdr:col>11</xdr:col>
      <xdr:colOff>98963</xdr:colOff>
      <xdr:row>19</xdr:row>
      <xdr:rowOff>30702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545990" y="7572375"/>
          <a:ext cx="1562101" cy="144780"/>
        </a:xfrm>
        <a:prstGeom prst="rect">
          <a:avLst/>
        </a:prstGeom>
      </xdr:spPr>
    </xdr:pic>
    <xdr:clientData/>
  </xdr:twoCellAnchor>
  <xdr:twoCellAnchor>
    <xdr:from>
      <xdr:col>8</xdr:col>
      <xdr:colOff>220422</xdr:colOff>
      <xdr:row>11</xdr:row>
      <xdr:rowOff>695146</xdr:rowOff>
    </xdr:from>
    <xdr:to>
      <xdr:col>11</xdr:col>
      <xdr:colOff>775292</xdr:colOff>
      <xdr:row>18</xdr:row>
      <xdr:rowOff>61056</xdr:rowOff>
    </xdr:to>
    <xdr:sp macro="" textlink="">
      <xdr:nvSpPr>
        <xdr:cNvPr id="8" name="TextBox 7"/>
        <xdr:cNvSpPr txBox="1"/>
      </xdr:nvSpPr>
      <xdr:spPr>
        <a:xfrm>
          <a:off x="8781846" y="5213983"/>
          <a:ext cx="3002574" cy="226771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2700 E. Leland Rd.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Pittsburg, CA 94565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925.439.2181, ext. 3138/3131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925.432.3904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eopsinfo@losmedanos.edu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www.losmedanos.edu</a:t>
          </a:r>
        </a:p>
        <a:p>
          <a:endParaRPr lang="en-US" sz="1100"/>
        </a:p>
      </xdr:txBody>
    </xdr:sp>
    <xdr:clientData/>
  </xdr:twoCellAnchor>
  <xdr:twoCellAnchor editAs="oneCell">
    <xdr:from>
      <xdr:col>6</xdr:col>
      <xdr:colOff>477585</xdr:colOff>
      <xdr:row>1</xdr:row>
      <xdr:rowOff>157161</xdr:rowOff>
    </xdr:from>
    <xdr:to>
      <xdr:col>8</xdr:col>
      <xdr:colOff>164811</xdr:colOff>
      <xdr:row>2</xdr:row>
      <xdr:rowOff>604873</xdr:rowOff>
    </xdr:to>
    <xdr:pic>
      <xdr:nvPicPr>
        <xdr:cNvPr id="9" name="Picture 8" descr="Los Medanos College"/>
        <xdr:cNvPicPr/>
      </xdr:nvPicPr>
      <xdr:blipFill>
        <a:blip xmlns:r="http://schemas.openxmlformats.org/officeDocument/2006/relationships" r:embed="rId3">
          <a:lum bright="18000"/>
        </a:blip>
        <a:srcRect t="24001" r="72728"/>
        <a:stretch>
          <a:fillRect/>
        </a:stretch>
      </xdr:blipFill>
      <xdr:spPr bwMode="auto">
        <a:xfrm>
          <a:off x="6668835" y="356521"/>
          <a:ext cx="2057400" cy="779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566190</xdr:colOff>
      <xdr:row>1</xdr:row>
      <xdr:rowOff>157161</xdr:rowOff>
    </xdr:from>
    <xdr:to>
      <xdr:col>7</xdr:col>
      <xdr:colOff>935582</xdr:colOff>
      <xdr:row>2</xdr:row>
      <xdr:rowOff>518313</xdr:rowOff>
    </xdr:to>
    <xdr:pic>
      <xdr:nvPicPr>
        <xdr:cNvPr id="3" name="Picture 2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8835" y="356521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940263</xdr:colOff>
      <xdr:row>11</xdr:row>
      <xdr:rowOff>392519</xdr:rowOff>
    </xdr:from>
    <xdr:to>
      <xdr:col>11</xdr:col>
      <xdr:colOff>54660</xdr:colOff>
      <xdr:row>11</xdr:row>
      <xdr:rowOff>537299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501687" y="4911356"/>
          <a:ext cx="1562101" cy="144780"/>
        </a:xfrm>
        <a:prstGeom prst="rect">
          <a:avLst/>
        </a:prstGeom>
      </xdr:spPr>
    </xdr:pic>
    <xdr:clientData/>
  </xdr:twoCellAnchor>
  <xdr:twoCellAnchor>
    <xdr:from>
      <xdr:col>8</xdr:col>
      <xdr:colOff>1006717</xdr:colOff>
      <xdr:row>18</xdr:row>
      <xdr:rowOff>107433</xdr:rowOff>
    </xdr:from>
    <xdr:to>
      <xdr:col>11</xdr:col>
      <xdr:colOff>121114</xdr:colOff>
      <xdr:row>18</xdr:row>
      <xdr:rowOff>252213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568141" y="7594526"/>
          <a:ext cx="1562101" cy="144780"/>
        </a:xfrm>
        <a:prstGeom prst="rect">
          <a:avLst/>
        </a:prstGeom>
      </xdr:spPr>
    </xdr:pic>
    <xdr:clientData/>
  </xdr:twoCellAnchor>
  <xdr:twoCellAnchor>
    <xdr:from>
      <xdr:col>8</xdr:col>
      <xdr:colOff>220422</xdr:colOff>
      <xdr:row>11</xdr:row>
      <xdr:rowOff>695146</xdr:rowOff>
    </xdr:from>
    <xdr:to>
      <xdr:col>11</xdr:col>
      <xdr:colOff>775292</xdr:colOff>
      <xdr:row>17</xdr:row>
      <xdr:rowOff>171812</xdr:rowOff>
    </xdr:to>
    <xdr:sp macro="" textlink="">
      <xdr:nvSpPr>
        <xdr:cNvPr id="8" name="TextBox 7"/>
        <xdr:cNvSpPr txBox="1"/>
      </xdr:nvSpPr>
      <xdr:spPr>
        <a:xfrm>
          <a:off x="8781846" y="5213983"/>
          <a:ext cx="3002574" cy="226771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2700 E. Leland Rd.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Pittsburg, CA 94565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925.439.2181, ext. 3138/3131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925.432.3904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eopsinfo@losmedanos.edu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www.losmedanos.edu</a:t>
          </a:r>
        </a:p>
        <a:p>
          <a:endParaRPr lang="en-US" sz="1100"/>
        </a:p>
      </xdr:txBody>
    </xdr:sp>
    <xdr:clientData/>
  </xdr:twoCellAnchor>
  <xdr:twoCellAnchor editAs="oneCell">
    <xdr:from>
      <xdr:col>6</xdr:col>
      <xdr:colOff>477585</xdr:colOff>
      <xdr:row>1</xdr:row>
      <xdr:rowOff>157161</xdr:rowOff>
    </xdr:from>
    <xdr:to>
      <xdr:col>8</xdr:col>
      <xdr:colOff>164811</xdr:colOff>
      <xdr:row>2</xdr:row>
      <xdr:rowOff>604873</xdr:rowOff>
    </xdr:to>
    <xdr:pic>
      <xdr:nvPicPr>
        <xdr:cNvPr id="9" name="Picture 8" descr="Los Medanos College"/>
        <xdr:cNvPicPr/>
      </xdr:nvPicPr>
      <xdr:blipFill>
        <a:blip xmlns:r="http://schemas.openxmlformats.org/officeDocument/2006/relationships" r:embed="rId3">
          <a:lum bright="18000"/>
        </a:blip>
        <a:srcRect t="24001" r="72728"/>
        <a:stretch>
          <a:fillRect/>
        </a:stretch>
      </xdr:blipFill>
      <xdr:spPr bwMode="auto">
        <a:xfrm>
          <a:off x="6668835" y="356521"/>
          <a:ext cx="2057400" cy="779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566184</xdr:colOff>
      <xdr:row>1</xdr:row>
      <xdr:rowOff>161445</xdr:rowOff>
    </xdr:from>
    <xdr:to>
      <xdr:col>7</xdr:col>
      <xdr:colOff>935576</xdr:colOff>
      <xdr:row>2</xdr:row>
      <xdr:rowOff>522597</xdr:rowOff>
    </xdr:to>
    <xdr:pic>
      <xdr:nvPicPr>
        <xdr:cNvPr id="3" name="Picture 2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8829" y="360805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1095322</xdr:colOff>
      <xdr:row>11</xdr:row>
      <xdr:rowOff>425747</xdr:rowOff>
    </xdr:from>
    <xdr:to>
      <xdr:col>11</xdr:col>
      <xdr:colOff>209719</xdr:colOff>
      <xdr:row>11</xdr:row>
      <xdr:rowOff>570527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656746" y="4944584"/>
          <a:ext cx="1562101" cy="144780"/>
        </a:xfrm>
        <a:prstGeom prst="rect">
          <a:avLst/>
        </a:prstGeom>
      </xdr:spPr>
    </xdr:pic>
    <xdr:clientData/>
  </xdr:twoCellAnchor>
  <xdr:twoCellAnchor>
    <xdr:from>
      <xdr:col>8</xdr:col>
      <xdr:colOff>1128548</xdr:colOff>
      <xdr:row>18</xdr:row>
      <xdr:rowOff>29903</xdr:rowOff>
    </xdr:from>
    <xdr:to>
      <xdr:col>11</xdr:col>
      <xdr:colOff>242945</xdr:colOff>
      <xdr:row>18</xdr:row>
      <xdr:rowOff>174683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689972" y="7450543"/>
          <a:ext cx="1562101" cy="144780"/>
        </a:xfrm>
        <a:prstGeom prst="rect">
          <a:avLst/>
        </a:prstGeom>
      </xdr:spPr>
    </xdr:pic>
    <xdr:clientData/>
  </xdr:twoCellAnchor>
  <xdr:twoCellAnchor>
    <xdr:from>
      <xdr:col>8</xdr:col>
      <xdr:colOff>309025</xdr:colOff>
      <xdr:row>11</xdr:row>
      <xdr:rowOff>695146</xdr:rowOff>
    </xdr:from>
    <xdr:to>
      <xdr:col>11</xdr:col>
      <xdr:colOff>863894</xdr:colOff>
      <xdr:row>17</xdr:row>
      <xdr:rowOff>61056</xdr:rowOff>
    </xdr:to>
    <xdr:sp macro="" textlink="">
      <xdr:nvSpPr>
        <xdr:cNvPr id="7" name="TextBox 6"/>
        <xdr:cNvSpPr txBox="1"/>
      </xdr:nvSpPr>
      <xdr:spPr>
        <a:xfrm>
          <a:off x="8870449" y="5213983"/>
          <a:ext cx="3002573" cy="209050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2700 E. Leland Rd.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Pittsburg, CA 94565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925.439.2181, ext. 3138/3131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925.432.3904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eopsinfo@losmedanos.edu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www.losmedanos.edu</a:t>
          </a:r>
        </a:p>
        <a:p>
          <a:endParaRPr lang="en-US" sz="1100"/>
        </a:p>
      </xdr:txBody>
    </xdr:sp>
    <xdr:clientData/>
  </xdr:twoCellAnchor>
  <xdr:twoCellAnchor editAs="oneCell">
    <xdr:from>
      <xdr:col>6</xdr:col>
      <xdr:colOff>477579</xdr:colOff>
      <xdr:row>1</xdr:row>
      <xdr:rowOff>161445</xdr:rowOff>
    </xdr:from>
    <xdr:to>
      <xdr:col>8</xdr:col>
      <xdr:colOff>164805</xdr:colOff>
      <xdr:row>2</xdr:row>
      <xdr:rowOff>609157</xdr:rowOff>
    </xdr:to>
    <xdr:pic>
      <xdr:nvPicPr>
        <xdr:cNvPr id="8" name="Picture 7" descr="Los Medanos College"/>
        <xdr:cNvPicPr/>
      </xdr:nvPicPr>
      <xdr:blipFill>
        <a:blip xmlns:r="http://schemas.openxmlformats.org/officeDocument/2006/relationships" r:embed="rId3">
          <a:lum bright="18000"/>
        </a:blip>
        <a:srcRect t="24001" r="72728"/>
        <a:stretch>
          <a:fillRect/>
        </a:stretch>
      </xdr:blipFill>
      <xdr:spPr bwMode="auto">
        <a:xfrm>
          <a:off x="6668829" y="360805"/>
          <a:ext cx="2057400" cy="779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566190</xdr:colOff>
      <xdr:row>1</xdr:row>
      <xdr:rowOff>161446</xdr:rowOff>
    </xdr:from>
    <xdr:to>
      <xdr:col>7</xdr:col>
      <xdr:colOff>935581</xdr:colOff>
      <xdr:row>2</xdr:row>
      <xdr:rowOff>522598</xdr:rowOff>
    </xdr:to>
    <xdr:pic>
      <xdr:nvPicPr>
        <xdr:cNvPr id="3" name="Picture 2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8835" y="360806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796281</xdr:colOff>
      <xdr:row>11</xdr:row>
      <xdr:rowOff>525426</xdr:rowOff>
    </xdr:from>
    <xdr:to>
      <xdr:col>10</xdr:col>
      <xdr:colOff>87887</xdr:colOff>
      <xdr:row>11</xdr:row>
      <xdr:rowOff>670206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368781" y="5044263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840583</xdr:colOff>
      <xdr:row>18</xdr:row>
      <xdr:rowOff>40979</xdr:rowOff>
    </xdr:from>
    <xdr:to>
      <xdr:col>10</xdr:col>
      <xdr:colOff>132189</xdr:colOff>
      <xdr:row>18</xdr:row>
      <xdr:rowOff>185759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413083" y="7461619"/>
          <a:ext cx="1562100" cy="144780"/>
        </a:xfrm>
        <a:prstGeom prst="rect">
          <a:avLst/>
        </a:prstGeom>
      </xdr:spPr>
    </xdr:pic>
    <xdr:clientData/>
  </xdr:twoCellAnchor>
  <xdr:twoCellAnchor editAs="oneCell">
    <xdr:from>
      <xdr:col>6</xdr:col>
      <xdr:colOff>466509</xdr:colOff>
      <xdr:row>1</xdr:row>
      <xdr:rowOff>161446</xdr:rowOff>
    </xdr:from>
    <xdr:to>
      <xdr:col>8</xdr:col>
      <xdr:colOff>153734</xdr:colOff>
      <xdr:row>2</xdr:row>
      <xdr:rowOff>609158</xdr:rowOff>
    </xdr:to>
    <xdr:pic>
      <xdr:nvPicPr>
        <xdr:cNvPr id="8" name="Picture 7" descr="Los Medanos College"/>
        <xdr:cNvPicPr/>
      </xdr:nvPicPr>
      <xdr:blipFill>
        <a:blip xmlns:r="http://schemas.openxmlformats.org/officeDocument/2006/relationships" r:embed="rId3">
          <a:lum bright="18000"/>
        </a:blip>
        <a:srcRect t="24001" r="72728"/>
        <a:stretch>
          <a:fillRect/>
        </a:stretch>
      </xdr:blipFill>
      <xdr:spPr bwMode="auto">
        <a:xfrm>
          <a:off x="6668835" y="360806"/>
          <a:ext cx="2057400" cy="779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153968</xdr:colOff>
      <xdr:row>12</xdr:row>
      <xdr:rowOff>97064</xdr:rowOff>
    </xdr:from>
    <xdr:to>
      <xdr:col>11</xdr:col>
      <xdr:colOff>708838</xdr:colOff>
      <xdr:row>17</xdr:row>
      <xdr:rowOff>171811</xdr:rowOff>
    </xdr:to>
    <xdr:sp macro="" textlink="">
      <xdr:nvSpPr>
        <xdr:cNvPr id="9" name="TextBox 8"/>
        <xdr:cNvSpPr txBox="1"/>
      </xdr:nvSpPr>
      <xdr:spPr>
        <a:xfrm>
          <a:off x="9058735" y="5324738"/>
          <a:ext cx="3002574" cy="226771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2700 E. Leland Rd.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Pittsburg, CA 94565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925.439.2181, ext. 3138/3131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925.432.3904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eopsinfo@losmedanos.edu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www.losmedanos.edu</a:t>
          </a:r>
        </a:p>
        <a:p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562110</xdr:colOff>
      <xdr:row>1</xdr:row>
      <xdr:rowOff>157161</xdr:rowOff>
    </xdr:from>
    <xdr:to>
      <xdr:col>7</xdr:col>
      <xdr:colOff>931502</xdr:colOff>
      <xdr:row>2</xdr:row>
      <xdr:rowOff>518313</xdr:rowOff>
    </xdr:to>
    <xdr:pic>
      <xdr:nvPicPr>
        <xdr:cNvPr id="3" name="Picture 2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4755" y="356521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763054</xdr:colOff>
      <xdr:row>11</xdr:row>
      <xdr:rowOff>303915</xdr:rowOff>
    </xdr:from>
    <xdr:to>
      <xdr:col>10</xdr:col>
      <xdr:colOff>54660</xdr:colOff>
      <xdr:row>11</xdr:row>
      <xdr:rowOff>448695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324478" y="4822752"/>
          <a:ext cx="1562101" cy="144780"/>
        </a:xfrm>
        <a:prstGeom prst="rect">
          <a:avLst/>
        </a:prstGeom>
      </xdr:spPr>
    </xdr:pic>
    <xdr:clientData/>
  </xdr:twoCellAnchor>
  <xdr:twoCellAnchor>
    <xdr:from>
      <xdr:col>8</xdr:col>
      <xdr:colOff>663374</xdr:colOff>
      <xdr:row>18</xdr:row>
      <xdr:rowOff>40979</xdr:rowOff>
    </xdr:from>
    <xdr:to>
      <xdr:col>9</xdr:col>
      <xdr:colOff>1040387</xdr:colOff>
      <xdr:row>18</xdr:row>
      <xdr:rowOff>185759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224798" y="7461619"/>
          <a:ext cx="1562101" cy="144780"/>
        </a:xfrm>
        <a:prstGeom prst="rect">
          <a:avLst/>
        </a:prstGeom>
      </xdr:spPr>
    </xdr:pic>
    <xdr:clientData/>
  </xdr:twoCellAnchor>
  <xdr:twoCellAnchor>
    <xdr:from>
      <xdr:col>8</xdr:col>
      <xdr:colOff>77529</xdr:colOff>
      <xdr:row>11</xdr:row>
      <xdr:rowOff>564854</xdr:rowOff>
    </xdr:from>
    <xdr:to>
      <xdr:col>11</xdr:col>
      <xdr:colOff>632399</xdr:colOff>
      <xdr:row>17</xdr:row>
      <xdr:rowOff>107974</xdr:rowOff>
    </xdr:to>
    <xdr:sp macro="" textlink="">
      <xdr:nvSpPr>
        <xdr:cNvPr id="8" name="TextBox 7"/>
        <xdr:cNvSpPr txBox="1"/>
      </xdr:nvSpPr>
      <xdr:spPr>
        <a:xfrm>
          <a:off x="8638953" y="5083691"/>
          <a:ext cx="3002574" cy="226771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2700 E. Leland Rd.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Pittsburg, CA 94565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925.439.2181, ext. 3138/3131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925.432.3904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eopsinfo@losmedanos.edu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www.losmedanos.edu</a:t>
          </a:r>
        </a:p>
        <a:p>
          <a:endParaRPr lang="en-US" sz="1100"/>
        </a:p>
      </xdr:txBody>
    </xdr:sp>
    <xdr:clientData/>
  </xdr:twoCellAnchor>
  <xdr:twoCellAnchor editAs="oneCell">
    <xdr:from>
      <xdr:col>6</xdr:col>
      <xdr:colOff>473505</xdr:colOff>
      <xdr:row>1</xdr:row>
      <xdr:rowOff>157161</xdr:rowOff>
    </xdr:from>
    <xdr:to>
      <xdr:col>8</xdr:col>
      <xdr:colOff>160731</xdr:colOff>
      <xdr:row>2</xdr:row>
      <xdr:rowOff>604873</xdr:rowOff>
    </xdr:to>
    <xdr:pic>
      <xdr:nvPicPr>
        <xdr:cNvPr id="9" name="Picture 8" descr="Los Medanos College"/>
        <xdr:cNvPicPr/>
      </xdr:nvPicPr>
      <xdr:blipFill>
        <a:blip xmlns:r="http://schemas.openxmlformats.org/officeDocument/2006/relationships" r:embed="rId3">
          <a:lum bright="18000"/>
        </a:blip>
        <a:srcRect t="24001" r="72728"/>
        <a:stretch>
          <a:fillRect/>
        </a:stretch>
      </xdr:blipFill>
      <xdr:spPr bwMode="auto">
        <a:xfrm>
          <a:off x="6664755" y="356521"/>
          <a:ext cx="2057400" cy="779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562110</xdr:colOff>
      <xdr:row>1</xdr:row>
      <xdr:rowOff>157161</xdr:rowOff>
    </xdr:from>
    <xdr:to>
      <xdr:col>7</xdr:col>
      <xdr:colOff>931502</xdr:colOff>
      <xdr:row>2</xdr:row>
      <xdr:rowOff>518313</xdr:rowOff>
    </xdr:to>
    <xdr:pic>
      <xdr:nvPicPr>
        <xdr:cNvPr id="3" name="Picture 2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4755" y="356521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763054</xdr:colOff>
      <xdr:row>11</xdr:row>
      <xdr:rowOff>337141</xdr:rowOff>
    </xdr:from>
    <xdr:to>
      <xdr:col>10</xdr:col>
      <xdr:colOff>54660</xdr:colOff>
      <xdr:row>11</xdr:row>
      <xdr:rowOff>481921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324478" y="4855978"/>
          <a:ext cx="1562101" cy="144780"/>
        </a:xfrm>
        <a:prstGeom prst="rect">
          <a:avLst/>
        </a:prstGeom>
      </xdr:spPr>
    </xdr:pic>
    <xdr:clientData/>
  </xdr:twoCellAnchor>
  <xdr:twoCellAnchor>
    <xdr:from>
      <xdr:col>8</xdr:col>
      <xdr:colOff>652299</xdr:colOff>
      <xdr:row>18</xdr:row>
      <xdr:rowOff>63130</xdr:rowOff>
    </xdr:from>
    <xdr:to>
      <xdr:col>9</xdr:col>
      <xdr:colOff>1029312</xdr:colOff>
      <xdr:row>18</xdr:row>
      <xdr:rowOff>207910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213723" y="7483770"/>
          <a:ext cx="1562101" cy="144780"/>
        </a:xfrm>
        <a:prstGeom prst="rect">
          <a:avLst/>
        </a:prstGeom>
      </xdr:spPr>
    </xdr:pic>
    <xdr:clientData/>
  </xdr:twoCellAnchor>
  <xdr:twoCellAnchor>
    <xdr:from>
      <xdr:col>8</xdr:col>
      <xdr:colOff>87515</xdr:colOff>
      <xdr:row>11</xdr:row>
      <xdr:rowOff>606542</xdr:rowOff>
    </xdr:from>
    <xdr:to>
      <xdr:col>11</xdr:col>
      <xdr:colOff>642385</xdr:colOff>
      <xdr:row>17</xdr:row>
      <xdr:rowOff>149662</xdr:rowOff>
    </xdr:to>
    <xdr:sp macro="" textlink="">
      <xdr:nvSpPr>
        <xdr:cNvPr id="8" name="TextBox 7"/>
        <xdr:cNvSpPr txBox="1"/>
      </xdr:nvSpPr>
      <xdr:spPr>
        <a:xfrm>
          <a:off x="8648939" y="5125379"/>
          <a:ext cx="3002574" cy="226771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2700 E. Leland Rd.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Pittsburg, CA 94565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925.439.2181, ext. 3138/3131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925.432.3904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eopsinfo@losmedanos.edu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www.losmedanos.edu</a:t>
          </a:r>
        </a:p>
        <a:p>
          <a:endParaRPr lang="en-US" sz="1100"/>
        </a:p>
      </xdr:txBody>
    </xdr:sp>
    <xdr:clientData/>
  </xdr:twoCellAnchor>
  <xdr:twoCellAnchor editAs="oneCell">
    <xdr:from>
      <xdr:col>6</xdr:col>
      <xdr:colOff>473505</xdr:colOff>
      <xdr:row>1</xdr:row>
      <xdr:rowOff>157161</xdr:rowOff>
    </xdr:from>
    <xdr:to>
      <xdr:col>8</xdr:col>
      <xdr:colOff>160731</xdr:colOff>
      <xdr:row>2</xdr:row>
      <xdr:rowOff>604873</xdr:rowOff>
    </xdr:to>
    <xdr:pic>
      <xdr:nvPicPr>
        <xdr:cNvPr id="9" name="Picture 8" descr="Los Medanos College"/>
        <xdr:cNvPicPr/>
      </xdr:nvPicPr>
      <xdr:blipFill>
        <a:blip xmlns:r="http://schemas.openxmlformats.org/officeDocument/2006/relationships" r:embed="rId3">
          <a:lum bright="18000"/>
        </a:blip>
        <a:srcRect t="24001" r="72728"/>
        <a:stretch>
          <a:fillRect/>
        </a:stretch>
      </xdr:blipFill>
      <xdr:spPr bwMode="auto">
        <a:xfrm>
          <a:off x="6664755" y="356521"/>
          <a:ext cx="2057400" cy="779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566190</xdr:colOff>
      <xdr:row>1</xdr:row>
      <xdr:rowOff>157161</xdr:rowOff>
    </xdr:from>
    <xdr:to>
      <xdr:col>7</xdr:col>
      <xdr:colOff>935582</xdr:colOff>
      <xdr:row>2</xdr:row>
      <xdr:rowOff>518313</xdr:rowOff>
    </xdr:to>
    <xdr:pic>
      <xdr:nvPicPr>
        <xdr:cNvPr id="3" name="Picture 2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8835" y="356521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818432</xdr:colOff>
      <xdr:row>11</xdr:row>
      <xdr:rowOff>259612</xdr:rowOff>
    </xdr:from>
    <xdr:to>
      <xdr:col>10</xdr:col>
      <xdr:colOff>110038</xdr:colOff>
      <xdr:row>11</xdr:row>
      <xdr:rowOff>404392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379856" y="4778449"/>
          <a:ext cx="1562101" cy="144780"/>
        </a:xfrm>
        <a:prstGeom prst="rect">
          <a:avLst/>
        </a:prstGeom>
      </xdr:spPr>
    </xdr:pic>
    <xdr:clientData/>
  </xdr:twoCellAnchor>
  <xdr:twoCellAnchor>
    <xdr:from>
      <xdr:col>8</xdr:col>
      <xdr:colOff>907035</xdr:colOff>
      <xdr:row>18</xdr:row>
      <xdr:rowOff>63130</xdr:rowOff>
    </xdr:from>
    <xdr:to>
      <xdr:col>11</xdr:col>
      <xdr:colOff>21432</xdr:colOff>
      <xdr:row>18</xdr:row>
      <xdr:rowOff>207910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468459" y="7483770"/>
          <a:ext cx="1562101" cy="144780"/>
        </a:xfrm>
        <a:prstGeom prst="rect">
          <a:avLst/>
        </a:prstGeom>
      </xdr:spPr>
    </xdr:pic>
    <xdr:clientData/>
  </xdr:twoCellAnchor>
  <xdr:twoCellAnchor>
    <xdr:from>
      <xdr:col>8</xdr:col>
      <xdr:colOff>76439</xdr:colOff>
      <xdr:row>11</xdr:row>
      <xdr:rowOff>551163</xdr:rowOff>
    </xdr:from>
    <xdr:to>
      <xdr:col>11</xdr:col>
      <xdr:colOff>631309</xdr:colOff>
      <xdr:row>17</xdr:row>
      <xdr:rowOff>94283</xdr:rowOff>
    </xdr:to>
    <xdr:sp macro="" textlink="">
      <xdr:nvSpPr>
        <xdr:cNvPr id="8" name="TextBox 7"/>
        <xdr:cNvSpPr txBox="1"/>
      </xdr:nvSpPr>
      <xdr:spPr>
        <a:xfrm>
          <a:off x="8637863" y="5070000"/>
          <a:ext cx="3002574" cy="226771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2700 E. Leland Rd.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Pittsburg, CA 94565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925.439.2181, ext. 3138/3131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925.432.3904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eopsinfo@losmedanos.edu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www.losmedanos.edu</a:t>
          </a:r>
        </a:p>
        <a:p>
          <a:endParaRPr lang="en-US" sz="1100"/>
        </a:p>
      </xdr:txBody>
    </xdr:sp>
    <xdr:clientData/>
  </xdr:twoCellAnchor>
  <xdr:twoCellAnchor editAs="oneCell">
    <xdr:from>
      <xdr:col>6</xdr:col>
      <xdr:colOff>477585</xdr:colOff>
      <xdr:row>1</xdr:row>
      <xdr:rowOff>157161</xdr:rowOff>
    </xdr:from>
    <xdr:to>
      <xdr:col>8</xdr:col>
      <xdr:colOff>164811</xdr:colOff>
      <xdr:row>2</xdr:row>
      <xdr:rowOff>604873</xdr:rowOff>
    </xdr:to>
    <xdr:pic>
      <xdr:nvPicPr>
        <xdr:cNvPr id="9" name="Picture 8" descr="Los Medanos College"/>
        <xdr:cNvPicPr/>
      </xdr:nvPicPr>
      <xdr:blipFill>
        <a:blip xmlns:r="http://schemas.openxmlformats.org/officeDocument/2006/relationships" r:embed="rId3">
          <a:lum bright="18000"/>
        </a:blip>
        <a:srcRect t="24001" r="72728"/>
        <a:stretch>
          <a:fillRect/>
        </a:stretch>
      </xdr:blipFill>
      <xdr:spPr bwMode="auto">
        <a:xfrm>
          <a:off x="6668835" y="356521"/>
          <a:ext cx="2057400" cy="779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566190</xdr:colOff>
      <xdr:row>1</xdr:row>
      <xdr:rowOff>157161</xdr:rowOff>
    </xdr:from>
    <xdr:to>
      <xdr:col>7</xdr:col>
      <xdr:colOff>935582</xdr:colOff>
      <xdr:row>2</xdr:row>
      <xdr:rowOff>518313</xdr:rowOff>
    </xdr:to>
    <xdr:pic>
      <xdr:nvPicPr>
        <xdr:cNvPr id="3" name="Picture 2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8835" y="356521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951339</xdr:colOff>
      <xdr:row>11</xdr:row>
      <xdr:rowOff>447896</xdr:rowOff>
    </xdr:from>
    <xdr:to>
      <xdr:col>11</xdr:col>
      <xdr:colOff>65736</xdr:colOff>
      <xdr:row>11</xdr:row>
      <xdr:rowOff>592676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512763" y="4966733"/>
          <a:ext cx="1562101" cy="144780"/>
        </a:xfrm>
        <a:prstGeom prst="rect">
          <a:avLst/>
        </a:prstGeom>
      </xdr:spPr>
    </xdr:pic>
    <xdr:clientData/>
  </xdr:twoCellAnchor>
  <xdr:twoCellAnchor>
    <xdr:from>
      <xdr:col>8</xdr:col>
      <xdr:colOff>851659</xdr:colOff>
      <xdr:row>18</xdr:row>
      <xdr:rowOff>162811</xdr:rowOff>
    </xdr:from>
    <xdr:to>
      <xdr:col>10</xdr:col>
      <xdr:colOff>143265</xdr:colOff>
      <xdr:row>19</xdr:row>
      <xdr:rowOff>41778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413083" y="7583451"/>
          <a:ext cx="1562101" cy="144780"/>
        </a:xfrm>
        <a:prstGeom prst="rect">
          <a:avLst/>
        </a:prstGeom>
      </xdr:spPr>
    </xdr:pic>
    <xdr:clientData/>
  </xdr:twoCellAnchor>
  <xdr:twoCellAnchor>
    <xdr:from>
      <xdr:col>8</xdr:col>
      <xdr:colOff>220422</xdr:colOff>
      <xdr:row>11</xdr:row>
      <xdr:rowOff>695146</xdr:rowOff>
    </xdr:from>
    <xdr:to>
      <xdr:col>11</xdr:col>
      <xdr:colOff>775292</xdr:colOff>
      <xdr:row>18</xdr:row>
      <xdr:rowOff>61056</xdr:rowOff>
    </xdr:to>
    <xdr:sp macro="" textlink="">
      <xdr:nvSpPr>
        <xdr:cNvPr id="8" name="TextBox 7"/>
        <xdr:cNvSpPr txBox="1"/>
      </xdr:nvSpPr>
      <xdr:spPr>
        <a:xfrm>
          <a:off x="8781846" y="5213983"/>
          <a:ext cx="3002574" cy="226771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2700 E. Leland Rd.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Pittsburg, CA 94565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925.439.2181, ext. 3138/3131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925.432.3904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eopsinfo@losmedanos.edu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www.losmedanos.edu</a:t>
          </a:r>
        </a:p>
        <a:p>
          <a:endParaRPr lang="en-US" sz="1100"/>
        </a:p>
      </xdr:txBody>
    </xdr:sp>
    <xdr:clientData/>
  </xdr:twoCellAnchor>
  <xdr:twoCellAnchor editAs="oneCell">
    <xdr:from>
      <xdr:col>6</xdr:col>
      <xdr:colOff>477585</xdr:colOff>
      <xdr:row>1</xdr:row>
      <xdr:rowOff>157161</xdr:rowOff>
    </xdr:from>
    <xdr:to>
      <xdr:col>8</xdr:col>
      <xdr:colOff>164811</xdr:colOff>
      <xdr:row>2</xdr:row>
      <xdr:rowOff>604873</xdr:rowOff>
    </xdr:to>
    <xdr:pic>
      <xdr:nvPicPr>
        <xdr:cNvPr id="9" name="Picture 8" descr="Los Medanos College"/>
        <xdr:cNvPicPr/>
      </xdr:nvPicPr>
      <xdr:blipFill>
        <a:blip xmlns:r="http://schemas.openxmlformats.org/officeDocument/2006/relationships" r:embed="rId3">
          <a:lum bright="18000"/>
        </a:blip>
        <a:srcRect t="24001" r="72728"/>
        <a:stretch>
          <a:fillRect/>
        </a:stretch>
      </xdr:blipFill>
      <xdr:spPr bwMode="auto">
        <a:xfrm>
          <a:off x="6668835" y="356521"/>
          <a:ext cx="2057400" cy="779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566190</xdr:colOff>
      <xdr:row>1</xdr:row>
      <xdr:rowOff>157161</xdr:rowOff>
    </xdr:from>
    <xdr:to>
      <xdr:col>7</xdr:col>
      <xdr:colOff>935582</xdr:colOff>
      <xdr:row>2</xdr:row>
      <xdr:rowOff>518313</xdr:rowOff>
    </xdr:to>
    <xdr:pic>
      <xdr:nvPicPr>
        <xdr:cNvPr id="3" name="Picture 2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8835" y="356521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884885</xdr:colOff>
      <xdr:row>11</xdr:row>
      <xdr:rowOff>392519</xdr:rowOff>
    </xdr:from>
    <xdr:to>
      <xdr:col>10</xdr:col>
      <xdr:colOff>176491</xdr:colOff>
      <xdr:row>11</xdr:row>
      <xdr:rowOff>537299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446309" y="4911356"/>
          <a:ext cx="1562101" cy="144780"/>
        </a:xfrm>
        <a:prstGeom prst="rect">
          <a:avLst/>
        </a:prstGeom>
      </xdr:spPr>
    </xdr:pic>
    <xdr:clientData/>
  </xdr:twoCellAnchor>
  <xdr:twoCellAnchor>
    <xdr:from>
      <xdr:col>8</xdr:col>
      <xdr:colOff>1006716</xdr:colOff>
      <xdr:row>18</xdr:row>
      <xdr:rowOff>151735</xdr:rowOff>
    </xdr:from>
    <xdr:to>
      <xdr:col>11</xdr:col>
      <xdr:colOff>121113</xdr:colOff>
      <xdr:row>19</xdr:row>
      <xdr:rowOff>30702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568140" y="7572375"/>
          <a:ext cx="1562101" cy="144780"/>
        </a:xfrm>
        <a:prstGeom prst="rect">
          <a:avLst/>
        </a:prstGeom>
      </xdr:spPr>
    </xdr:pic>
    <xdr:clientData/>
  </xdr:twoCellAnchor>
  <xdr:twoCellAnchor>
    <xdr:from>
      <xdr:col>8</xdr:col>
      <xdr:colOff>220422</xdr:colOff>
      <xdr:row>11</xdr:row>
      <xdr:rowOff>695146</xdr:rowOff>
    </xdr:from>
    <xdr:to>
      <xdr:col>11</xdr:col>
      <xdr:colOff>775292</xdr:colOff>
      <xdr:row>18</xdr:row>
      <xdr:rowOff>61056</xdr:rowOff>
    </xdr:to>
    <xdr:sp macro="" textlink="">
      <xdr:nvSpPr>
        <xdr:cNvPr id="8" name="TextBox 7"/>
        <xdr:cNvSpPr txBox="1"/>
      </xdr:nvSpPr>
      <xdr:spPr>
        <a:xfrm>
          <a:off x="8781846" y="5213983"/>
          <a:ext cx="3002574" cy="226771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2700 E. Leland Rd.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Pittsburg, CA 94565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925.439.2181, ext. 3138/3131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925.432.3904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eopsinfo@losmedanos.edu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www.losmedanos.edu</a:t>
          </a:r>
        </a:p>
        <a:p>
          <a:endParaRPr lang="en-US" sz="1100"/>
        </a:p>
      </xdr:txBody>
    </xdr:sp>
    <xdr:clientData/>
  </xdr:twoCellAnchor>
  <xdr:twoCellAnchor editAs="oneCell">
    <xdr:from>
      <xdr:col>6</xdr:col>
      <xdr:colOff>477585</xdr:colOff>
      <xdr:row>1</xdr:row>
      <xdr:rowOff>157161</xdr:rowOff>
    </xdr:from>
    <xdr:to>
      <xdr:col>8</xdr:col>
      <xdr:colOff>164811</xdr:colOff>
      <xdr:row>2</xdr:row>
      <xdr:rowOff>604873</xdr:rowOff>
    </xdr:to>
    <xdr:pic>
      <xdr:nvPicPr>
        <xdr:cNvPr id="9" name="Picture 8" descr="Los Medanos College"/>
        <xdr:cNvPicPr/>
      </xdr:nvPicPr>
      <xdr:blipFill>
        <a:blip xmlns:r="http://schemas.openxmlformats.org/officeDocument/2006/relationships" r:embed="rId3">
          <a:lum bright="18000"/>
        </a:blip>
        <a:srcRect t="24001" r="72728"/>
        <a:stretch>
          <a:fillRect/>
        </a:stretch>
      </xdr:blipFill>
      <xdr:spPr bwMode="auto">
        <a:xfrm>
          <a:off x="6668835" y="356521"/>
          <a:ext cx="2057400" cy="779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566190</xdr:colOff>
      <xdr:row>1</xdr:row>
      <xdr:rowOff>157161</xdr:rowOff>
    </xdr:from>
    <xdr:to>
      <xdr:col>7</xdr:col>
      <xdr:colOff>935582</xdr:colOff>
      <xdr:row>2</xdr:row>
      <xdr:rowOff>518313</xdr:rowOff>
    </xdr:to>
    <xdr:pic>
      <xdr:nvPicPr>
        <xdr:cNvPr id="3" name="Picture 2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8835" y="356521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840584</xdr:colOff>
      <xdr:row>11</xdr:row>
      <xdr:rowOff>425746</xdr:rowOff>
    </xdr:from>
    <xdr:to>
      <xdr:col>10</xdr:col>
      <xdr:colOff>132190</xdr:colOff>
      <xdr:row>11</xdr:row>
      <xdr:rowOff>570526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402008" y="4944583"/>
          <a:ext cx="1562101" cy="144780"/>
        </a:xfrm>
        <a:prstGeom prst="rect">
          <a:avLst/>
        </a:prstGeom>
      </xdr:spPr>
    </xdr:pic>
    <xdr:clientData/>
  </xdr:twoCellAnchor>
  <xdr:twoCellAnchor>
    <xdr:from>
      <xdr:col>8</xdr:col>
      <xdr:colOff>873809</xdr:colOff>
      <xdr:row>18</xdr:row>
      <xdr:rowOff>173886</xdr:rowOff>
    </xdr:from>
    <xdr:to>
      <xdr:col>10</xdr:col>
      <xdr:colOff>165415</xdr:colOff>
      <xdr:row>19</xdr:row>
      <xdr:rowOff>52853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435233" y="7594526"/>
          <a:ext cx="1562101" cy="144780"/>
        </a:xfrm>
        <a:prstGeom prst="rect">
          <a:avLst/>
        </a:prstGeom>
      </xdr:spPr>
    </xdr:pic>
    <xdr:clientData/>
  </xdr:twoCellAnchor>
  <xdr:twoCellAnchor>
    <xdr:from>
      <xdr:col>8</xdr:col>
      <xdr:colOff>220422</xdr:colOff>
      <xdr:row>11</xdr:row>
      <xdr:rowOff>695146</xdr:rowOff>
    </xdr:from>
    <xdr:to>
      <xdr:col>11</xdr:col>
      <xdr:colOff>775292</xdr:colOff>
      <xdr:row>18</xdr:row>
      <xdr:rowOff>61056</xdr:rowOff>
    </xdr:to>
    <xdr:sp macro="" textlink="">
      <xdr:nvSpPr>
        <xdr:cNvPr id="8" name="TextBox 7"/>
        <xdr:cNvSpPr txBox="1"/>
      </xdr:nvSpPr>
      <xdr:spPr>
        <a:xfrm>
          <a:off x="8781846" y="5213983"/>
          <a:ext cx="3002574" cy="226771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2700 E. Leland Rd.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Pittsburg, CA 94565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925.439.2181, ext. 3138/3131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925.432.3904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eopsinfo@losmedanos.edu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www.losmedanos.edu</a:t>
          </a:r>
        </a:p>
        <a:p>
          <a:endParaRPr lang="en-US" sz="1100"/>
        </a:p>
      </xdr:txBody>
    </xdr:sp>
    <xdr:clientData/>
  </xdr:twoCellAnchor>
  <xdr:twoCellAnchor editAs="oneCell">
    <xdr:from>
      <xdr:col>6</xdr:col>
      <xdr:colOff>477585</xdr:colOff>
      <xdr:row>1</xdr:row>
      <xdr:rowOff>157161</xdr:rowOff>
    </xdr:from>
    <xdr:to>
      <xdr:col>8</xdr:col>
      <xdr:colOff>164811</xdr:colOff>
      <xdr:row>2</xdr:row>
      <xdr:rowOff>604873</xdr:rowOff>
    </xdr:to>
    <xdr:pic>
      <xdr:nvPicPr>
        <xdr:cNvPr id="9" name="Picture 8" descr="Los Medanos College"/>
        <xdr:cNvPicPr/>
      </xdr:nvPicPr>
      <xdr:blipFill>
        <a:blip xmlns:r="http://schemas.openxmlformats.org/officeDocument/2006/relationships" r:embed="rId3">
          <a:lum bright="18000"/>
        </a:blip>
        <a:srcRect t="24001" r="72728"/>
        <a:stretch>
          <a:fillRect/>
        </a:stretch>
      </xdr:blipFill>
      <xdr:spPr bwMode="auto">
        <a:xfrm>
          <a:off x="6668835" y="356521"/>
          <a:ext cx="2057400" cy="779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1">
      <a:majorFont>
        <a:latin typeface="Georgia"/>
        <a:ea typeface=""/>
        <a:cs typeface=""/>
      </a:majorFont>
      <a:minorFont>
        <a:latin typeface="Cambria"/>
        <a:ea typeface=""/>
        <a:cs typeface="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J12" sqref="J12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  <c r="L1" s="8" t="s">
        <v>8</v>
      </c>
    </row>
    <row r="2" spans="1:18" ht="26.25" customHeight="1">
      <c r="A2"/>
      <c r="L2" s="9">
        <v>2012</v>
      </c>
    </row>
    <row r="3" spans="1:18" ht="57.75" customHeight="1">
      <c r="A3"/>
      <c r="B3" s="28" t="str">
        <f>UPPER(TEXT(DATE(CalendarYear,1,1),"mmmm yyyy"))</f>
        <v>JANUARY 2012</v>
      </c>
      <c r="C3" s="28"/>
      <c r="D3" s="28"/>
      <c r="E3" s="28"/>
      <c r="F3" s="28"/>
    </row>
    <row r="4" spans="1:18" customFormat="1" ht="29.25" customHeight="1">
      <c r="B4" s="14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6" t="s">
        <v>6</v>
      </c>
      <c r="I4" s="1"/>
      <c r="J4" s="1"/>
      <c r="L4" s="1"/>
      <c r="M4" s="7"/>
      <c r="Q4" s="1"/>
      <c r="R4" s="1"/>
    </row>
    <row r="5" spans="1:18" customFormat="1" ht="15" customHeight="1">
      <c r="B5" s="17" t="str">
        <f>IF(DAY(JanSun1)=1,"",IF(AND(YEAR(JanSun1+1)=CalendarYear,MONTH(JanSun1+1)=1),JanSun1+1,""))</f>
        <v/>
      </c>
      <c r="C5" s="17" t="str">
        <f>IF(DAY(JanSun1)=1,"",IF(AND(YEAR(JanSun1+2)=CalendarYear,MONTH(JanSun1+2)=1),JanSun1+2,""))</f>
        <v/>
      </c>
      <c r="D5" s="17" t="str">
        <f>IF(DAY(JanSun1)=1,"",IF(AND(YEAR(JanSun1+3)=CalendarYear,MONTH(JanSun1+3)=1),JanSun1+3,""))</f>
        <v/>
      </c>
      <c r="E5" s="17" t="str">
        <f>IF(DAY(JanSun1)=1,"",IF(AND(YEAR(JanSun1+4)=CalendarYear,MONTH(JanSun1+4)=1),JanSun1+4,""))</f>
        <v/>
      </c>
      <c r="F5" s="17" t="str">
        <f>IF(DAY(JanSun1)=1,"",IF(AND(YEAR(JanSun1+5)=CalendarYear,MONTH(JanSun1+5)=1),JanSun1+5,""))</f>
        <v/>
      </c>
      <c r="G5" s="17" t="str">
        <f>IF(DAY(JanSun1)=1,"",IF(AND(YEAR(JanSun1+6)=CalendarYear,MONTH(JanSun1+6)=1),JanSun1+6,""))</f>
        <v/>
      </c>
      <c r="H5" s="17">
        <f>IF(DAY(JanSun1)=1,IF(AND(YEAR(JanSun1)=CalendarYear,MONTH(JanSun1)=1),JanSun1,""),IF(AND(YEAR(JanSun1+7)=CalendarYear,MONTH(JanSun1+7)=1),JanSun1+7,""))</f>
        <v>40909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IF(DAY(JanSun1)=1,IF(AND(YEAR(JanSun1+1)=CalendarYear,MONTH(JanSun1+1)=1),JanSun1+1,""),IF(AND(YEAR(JanSun1+8)=CalendarYear,MONTH(JanSun1+8)=1),JanSun1+8,""))</f>
        <v>40910</v>
      </c>
      <c r="C7" s="18">
        <f>IF(DAY(JanSun1)=1,IF(AND(YEAR(JanSun1+2)=CalendarYear,MONTH(JanSun1+2)=1),JanSun1+2,""),IF(AND(YEAR(JanSun1+9)=CalendarYear,MONTH(JanSun1+9)=1),JanSun1+9,""))</f>
        <v>40911</v>
      </c>
      <c r="D7" s="18">
        <f>IF(DAY(JanSun1)=1,IF(AND(YEAR(JanSun1+3)=CalendarYear,MONTH(JanSun1+3)=1),JanSun1+3,""),IF(AND(YEAR(JanSun1+10)=CalendarYear,MONTH(JanSun1+10)=1),JanSun1+10,""))</f>
        <v>40912</v>
      </c>
      <c r="E7" s="18">
        <f>IF(DAY(JanSun1)=1,IF(AND(YEAR(JanSun1+4)=CalendarYear,MONTH(JanSun1+4)=1),JanSun1+4,""),IF(AND(YEAR(JanSun1+11)=CalendarYear,MONTH(JanSun1+11)=1),JanSun1+11,""))</f>
        <v>40913</v>
      </c>
      <c r="F7" s="18">
        <f>IF(DAY(JanSun1)=1,IF(AND(YEAR(JanSun1+5)=CalendarYear,MONTH(JanSun1+5)=1),JanSun1+5,""),IF(AND(YEAR(JanSun1+12)=CalendarYear,MONTH(JanSun1+12)=1),JanSun1+12,""))</f>
        <v>40914</v>
      </c>
      <c r="G7" s="18">
        <f>IF(DAY(JanSun1)=1,IF(AND(YEAR(JanSun1+6)=CalendarYear,MONTH(JanSun1+6)=1),JanSun1+6,""),IF(AND(YEAR(JanSun1+13)=CalendarYear,MONTH(JanSun1+13)=1),JanSun1+13,""))</f>
        <v>40915</v>
      </c>
      <c r="H7" s="18">
        <f>IF(DAY(JanSun1)=1,IF(AND(YEAR(JanSun1+7)=CalendarYear,MONTH(JanSun1+7)=1),JanSun1+7,""),IF(AND(YEAR(JanSun1+14)=CalendarYear,MONTH(JanSun1+14)=1),JanSun1+14,""))</f>
        <v>40916</v>
      </c>
      <c r="I7" s="3"/>
    </row>
    <row r="8" spans="1:18" ht="55.5" customHeight="1">
      <c r="A8"/>
      <c r="B8" s="12"/>
      <c r="C8" s="12"/>
      <c r="D8" s="12"/>
      <c r="E8" s="12"/>
      <c r="F8" s="12"/>
      <c r="G8" s="13"/>
      <c r="H8" s="13"/>
      <c r="I8" s="3"/>
    </row>
    <row r="9" spans="1:18" ht="15" customHeight="1">
      <c r="A9"/>
      <c r="B9" s="19">
        <f>IF(DAY(JanSun1)=1,IF(AND(YEAR(JanSun1+8)=CalendarYear,MONTH(JanSun1+8)=1),JanSun1+8,""),IF(AND(YEAR(JanSun1+15)=CalendarYear,MONTH(JanSun1+15)=1),JanSun1+15,""))</f>
        <v>40917</v>
      </c>
      <c r="C9" s="19">
        <f>IF(DAY(JanSun1)=1,IF(AND(YEAR(JanSun1+9)=CalendarYear,MONTH(JanSun1+9)=1),JanSun1+9,""),IF(AND(YEAR(JanSun1+16)=CalendarYear,MONTH(JanSun1+16)=1),JanSun1+16,""))</f>
        <v>40918</v>
      </c>
      <c r="D9" s="19">
        <f>IF(DAY(JanSun1)=1,IF(AND(YEAR(JanSun1+10)=CalendarYear,MONTH(JanSun1+10)=1),JanSun1+10,""),IF(AND(YEAR(JanSun1+17)=CalendarYear,MONTH(JanSun1+17)=1),JanSun1+17,""))</f>
        <v>40919</v>
      </c>
      <c r="E9" s="19">
        <f>IF(DAY(JanSun1)=1,IF(AND(YEAR(JanSun1+11)=CalendarYear,MONTH(JanSun1+11)=1),JanSun1+11,""),IF(AND(YEAR(JanSun1+18)=CalendarYear,MONTH(JanSun1+18)=1),JanSun1+18,""))</f>
        <v>40920</v>
      </c>
      <c r="F9" s="19">
        <f>IF(DAY(JanSun1)=1,IF(AND(YEAR(JanSun1+12)=CalendarYear,MONTH(JanSun1+12)=1),JanSun1+12,""),IF(AND(YEAR(JanSun1+19)=CalendarYear,MONTH(JanSun1+19)=1),JanSun1+19,""))</f>
        <v>40921</v>
      </c>
      <c r="G9" s="19">
        <f>IF(DAY(JanSun1)=1,IF(AND(YEAR(JanSun1+13)=CalendarYear,MONTH(JanSun1+13)=1),JanSun1+13,""),IF(AND(YEAR(JanSun1+20)=CalendarYear,MONTH(JanSun1+20)=1),JanSun1+20,""))</f>
        <v>40922</v>
      </c>
      <c r="H9" s="19">
        <f>IF(DAY(JanSun1)=1,IF(AND(YEAR(JanSun1+14)=CalendarYear,MONTH(JanSun1+14)=1),JanSun1+14,""),IF(AND(YEAR(JanSun1+21)=CalendarYear,MONTH(JanSun1+21)=1),JanSun1+21,""))</f>
        <v>40923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IF(DAY(JanSun1)=1,IF(AND(YEAR(JanSun1+15)=CalendarYear,MONTH(JanSun1+15)=1),JanSun1+15,""),IF(AND(YEAR(JanSun1+22)=CalendarYear,MONTH(JanSun1+22)=1),JanSun1+22,""))</f>
        <v>40924</v>
      </c>
      <c r="C11" s="20">
        <f>IF(DAY(JanSun1)=1,IF(AND(YEAR(JanSun1+16)=CalendarYear,MONTH(JanSun1+16)=1),JanSun1+16,""),IF(AND(YEAR(JanSun1+23)=CalendarYear,MONTH(JanSun1+23)=1),JanSun1+23,""))</f>
        <v>40925</v>
      </c>
      <c r="D11" s="20">
        <f>IF(DAY(JanSun1)=1,IF(AND(YEAR(JanSun1+17)=CalendarYear,MONTH(JanSun1+17)=1),JanSun1+17,""),IF(AND(YEAR(JanSun1+24)=CalendarYear,MONTH(JanSun1+24)=1),JanSun1+24,""))</f>
        <v>40926</v>
      </c>
      <c r="E11" s="20">
        <f>IF(DAY(JanSun1)=1,IF(AND(YEAR(JanSun1+18)=CalendarYear,MONTH(JanSun1+18)=1),JanSun1+18,""),IF(AND(YEAR(JanSun1+25)=CalendarYear,MONTH(JanSun1+25)=1),JanSun1+25,""))</f>
        <v>40927</v>
      </c>
      <c r="F11" s="20">
        <f>IF(DAY(JanSun1)=1,IF(AND(YEAR(JanSun1+19)=CalendarYear,MONTH(JanSun1+19)=1),JanSun1+19,""),IF(AND(YEAR(JanSun1+26)=CalendarYear,MONTH(JanSun1+26)=1),JanSun1+26,""))</f>
        <v>40928</v>
      </c>
      <c r="G11" s="20">
        <f>IF(DAY(JanSun1)=1,IF(AND(YEAR(JanSun1+20)=CalendarYear,MONTH(JanSun1+20)=1),JanSun1+20,""),IF(AND(YEAR(JanSun1+27)=CalendarYear,MONTH(JanSun1+27)=1),JanSun1+27,""))</f>
        <v>40929</v>
      </c>
      <c r="H11" s="20">
        <f>IF(DAY(JanSun1)=1,IF(AND(YEAR(JanSun1+21)=CalendarYear,MONTH(JanSun1+21)=1),JanSun1+21,""),IF(AND(YEAR(JanSun1+28)=CalendarYear,MONTH(JanSun1+28)=1),JanSun1+28,""))</f>
        <v>40930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IF(DAY(JanSun1)=1,IF(AND(YEAR(JanSun1+22)=CalendarYear,MONTH(JanSun1+22)=1),JanSun1+22,""),IF(AND(YEAR(JanSun1+29)=CalendarYear,MONTH(JanSun1+29)=1),JanSun1+29,""))</f>
        <v>40931</v>
      </c>
      <c r="C13" s="19">
        <f>IF(DAY(JanSun1)=1,IF(AND(YEAR(JanSun1+23)=CalendarYear,MONTH(JanSun1+23)=1),JanSun1+23,""),IF(AND(YEAR(JanSun1+30)=CalendarYear,MONTH(JanSun1+30)=1),JanSun1+30,""))</f>
        <v>40932</v>
      </c>
      <c r="D13" s="19">
        <f>IF(DAY(JanSun1)=1,IF(AND(YEAR(JanSun1+24)=CalendarYear,MONTH(JanSun1+24)=1),JanSun1+24,""),IF(AND(YEAR(JanSun1+31)=CalendarYear,MONTH(JanSun1+31)=1),JanSun1+31,""))</f>
        <v>40933</v>
      </c>
      <c r="E13" s="19">
        <f>IF(DAY(JanSun1)=1,IF(AND(YEAR(JanSun1+25)=CalendarYear,MONTH(JanSun1+25)=1),JanSun1+25,""),IF(AND(YEAR(JanSun1+32)=CalendarYear,MONTH(JanSun1+32)=1),JanSun1+32,""))</f>
        <v>40934</v>
      </c>
      <c r="F13" s="19">
        <f>IF(DAY(JanSun1)=1,IF(AND(YEAR(JanSun1+26)=CalendarYear,MONTH(JanSun1+26)=1),JanSun1+26,""),IF(AND(YEAR(JanSun1+33)=CalendarYear,MONTH(JanSun1+33)=1),JanSun1+33,""))</f>
        <v>40935</v>
      </c>
      <c r="G13" s="19">
        <f>IF(DAY(JanSun1)=1,IF(AND(YEAR(JanSun1+27)=CalendarYear,MONTH(JanSun1+27)=1),JanSun1+27,""),IF(AND(YEAR(JanSun1+34)=CalendarYear,MONTH(JanSun1+34)=1),JanSun1+34,""))</f>
        <v>40936</v>
      </c>
      <c r="H13" s="19">
        <f>IF(DAY(JanSun1)=1,IF(AND(YEAR(JanSun1+28)=CalendarYear,MONTH(JanSun1+28)=1),JanSun1+28,""),IF(AND(YEAR(JanSun1+35)=CalendarYear,MONTH(JanSun1+35)=1),JanSun1+35,""))</f>
        <v>40937</v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>
        <f>IF(DAY(JanSun1)=1,IF(AND(YEAR(JanSun1+29)=CalendarYear,MONTH(JanSun1+29)=1),JanSun1+29,""),IF(AND(YEAR(JanSun1+36)=CalendarYear,MONTH(JanSun1+36)=1),JanSun1+36,""))</f>
        <v>40938</v>
      </c>
      <c r="C15" s="21">
        <f>IF(DAY(JanSun1)=1,IF(AND(YEAR(JanSun1+30)=CalendarYear,MONTH(JanSun1+30)=1),JanSun1+30,""),IF(AND(YEAR(JanSun1+37)=CalendarYear,MONTH(JanSun1+37)=1),JanSun1+37,""))</f>
        <v>40939</v>
      </c>
      <c r="D15" s="25" t="s">
        <v>7</v>
      </c>
      <c r="E15" s="26"/>
      <c r="F15" s="26"/>
      <c r="G15" s="26"/>
      <c r="H15" s="27"/>
      <c r="I15" s="3"/>
    </row>
    <row r="16" spans="1:18" ht="55.5" customHeight="1">
      <c r="A16"/>
      <c r="B16" s="12"/>
      <c r="C16" s="12"/>
      <c r="D16" s="22"/>
      <c r="E16" s="23"/>
      <c r="F16" s="23"/>
      <c r="G16" s="23"/>
      <c r="H16" s="24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D16:H16"/>
    <mergeCell ref="D15:H15"/>
    <mergeCell ref="B3:F3"/>
  </mergeCells>
  <printOptions horizontalCentered="1" verticalCentered="1"/>
  <pageMargins left="0.2" right="0.2" top="0.25" bottom="0.25" header="0" footer="0"/>
  <pageSetup scale="90" orientation="landscape" r:id="rId1"/>
  <headerFooter scaleWithDoc="0" alignWithMargins="0"/>
  <customProperties>
    <customPr name="SheetChanged" r:id="rId2"/>
  </customProperties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J10" sqref="J10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</row>
    <row r="2" spans="1:18" ht="26.25" customHeight="1">
      <c r="A2"/>
    </row>
    <row r="3" spans="1:18" ht="57.75" customHeight="1">
      <c r="A3"/>
      <c r="B3" s="28" t="str">
        <f>UPPER(TEXT(DATE(CalendarYear,10,1),"mmmm yyyy"))</f>
        <v>OCTOBER 2012</v>
      </c>
      <c r="C3" s="28"/>
      <c r="D3" s="28"/>
      <c r="E3" s="28"/>
      <c r="F3" s="28"/>
    </row>
    <row r="4" spans="1:18" customFormat="1" ht="29.25" customHeight="1">
      <c r="B4" s="14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6" t="s">
        <v>6</v>
      </c>
      <c r="I4" s="1"/>
      <c r="J4" s="1"/>
      <c r="L4" s="1"/>
      <c r="M4" s="7"/>
      <c r="Q4" s="1"/>
      <c r="R4" s="1"/>
    </row>
    <row r="5" spans="1:18" customFormat="1" ht="15" customHeight="1">
      <c r="B5" s="17">
        <f>IF(DAY(OctSun1)=1,"",IF(AND(YEAR(OctSun1+1)=CalendarYear,MONTH(OctSun1+1)=10),OctSun1+1,""))</f>
        <v>41183</v>
      </c>
      <c r="C5" s="17">
        <f>IF(DAY(OctSun1)=1,"",IF(AND(YEAR(OctSun1+2)=CalendarYear,MONTH(OctSun1+2)=10),OctSun1+2,""))</f>
        <v>41184</v>
      </c>
      <c r="D5" s="17">
        <f>IF(DAY(OctSun1)=1,"",IF(AND(YEAR(OctSun1+3)=CalendarYear,MONTH(OctSun1+3)=10),OctSun1+3,""))</f>
        <v>41185</v>
      </c>
      <c r="E5" s="17">
        <f>IF(DAY(OctSun1)=1,"",IF(AND(YEAR(OctSun1+4)=CalendarYear,MONTH(OctSun1+4)=10),OctSun1+4,""))</f>
        <v>41186</v>
      </c>
      <c r="F5" s="17">
        <f>IF(DAY(OctSun1)=1,"",IF(AND(YEAR(OctSun1+5)=CalendarYear,MONTH(OctSun1+5)=10),OctSun1+5,""))</f>
        <v>41187</v>
      </c>
      <c r="G5" s="17">
        <f>IF(DAY(OctSun1)=1,"",IF(AND(YEAR(OctSun1+6)=CalendarYear,MONTH(OctSun1+6)=10),OctSun1+6,""))</f>
        <v>41188</v>
      </c>
      <c r="H5" s="17">
        <f>IF(DAY(OctSun1)=1,IF(AND(YEAR(OctSun1)=CalendarYear,MONTH(OctSun1)=10),OctSun1,""),IF(AND(YEAR(OctSun1+7)=CalendarYear,MONTH(OctSun1+7)=10),OctSun1+7,""))</f>
        <v>41189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IF(DAY(OctSun1)=1,IF(AND(YEAR(OctSun1+1)=CalendarYear,MONTH(OctSun1+1)=10),OctSun1+1,""),IF(AND(YEAR(OctSun1+8)=CalendarYear,MONTH(OctSun1+8)=10),OctSun1+8,""))</f>
        <v>41190</v>
      </c>
      <c r="C7" s="18">
        <f>IF(DAY(OctSun1)=1,IF(AND(YEAR(OctSun1+2)=CalendarYear,MONTH(OctSun1+2)=10),OctSun1+2,""),IF(AND(YEAR(OctSun1+9)=CalendarYear,MONTH(OctSun1+9)=10),OctSun1+9,""))</f>
        <v>41191</v>
      </c>
      <c r="D7" s="18">
        <f>IF(DAY(OctSun1)=1,IF(AND(YEAR(OctSun1+3)=CalendarYear,MONTH(OctSun1+3)=10),OctSun1+3,""),IF(AND(YEAR(OctSun1+10)=CalendarYear,MONTH(OctSun1+10)=10),OctSun1+10,""))</f>
        <v>41192</v>
      </c>
      <c r="E7" s="18">
        <f>IF(DAY(OctSun1)=1,IF(AND(YEAR(OctSun1+4)=CalendarYear,MONTH(OctSun1+4)=10),OctSun1+4,""),IF(AND(YEAR(OctSun1+11)=CalendarYear,MONTH(OctSun1+11)=10),OctSun1+11,""))</f>
        <v>41193</v>
      </c>
      <c r="F7" s="18">
        <f>IF(DAY(OctSun1)=1,IF(AND(YEAR(OctSun1+5)=CalendarYear,MONTH(OctSun1+5)=10),OctSun1+5,""),IF(AND(YEAR(OctSun1+12)=CalendarYear,MONTH(OctSun1+12)=10),OctSun1+12,""))</f>
        <v>41194</v>
      </c>
      <c r="G7" s="18">
        <f>IF(DAY(OctSun1)=1,IF(AND(YEAR(OctSun1+6)=CalendarYear,MONTH(OctSun1+6)=10),OctSun1+6,""),IF(AND(YEAR(OctSun1+13)=CalendarYear,MONTH(OctSun1+13)=10),OctSun1+13,""))</f>
        <v>41195</v>
      </c>
      <c r="H7" s="18">
        <f>IF(DAY(OctSun1)=1,IF(AND(YEAR(OctSun1+7)=CalendarYear,MONTH(OctSun1+7)=10),OctSun1+7,""),IF(AND(YEAR(OctSun1+14)=CalendarYear,MONTH(OctSun1+14)=10),OctSun1+14,""))</f>
        <v>41196</v>
      </c>
      <c r="I7" s="3"/>
    </row>
    <row r="8" spans="1:18" ht="55.5" customHeight="1">
      <c r="A8"/>
      <c r="B8" s="12"/>
      <c r="C8" s="12"/>
      <c r="D8" s="12"/>
      <c r="E8" s="12"/>
      <c r="F8" s="12"/>
      <c r="G8" s="13"/>
      <c r="H8" s="13"/>
      <c r="I8" s="3"/>
    </row>
    <row r="9" spans="1:18" ht="15" customHeight="1">
      <c r="A9"/>
      <c r="B9" s="19">
        <f>IF(DAY(OctSun1)=1,IF(AND(YEAR(OctSun1+8)=CalendarYear,MONTH(OctSun1+8)=10),OctSun1+8,""),IF(AND(YEAR(OctSun1+15)=CalendarYear,MONTH(OctSun1+15)=10),OctSun1+15,""))</f>
        <v>41197</v>
      </c>
      <c r="C9" s="19">
        <f>IF(DAY(OctSun1)=1,IF(AND(YEAR(OctSun1+9)=CalendarYear,MONTH(OctSun1+9)=10),OctSun1+9,""),IF(AND(YEAR(OctSun1+16)=CalendarYear,MONTH(OctSun1+16)=10),OctSun1+16,""))</f>
        <v>41198</v>
      </c>
      <c r="D9" s="19">
        <f>IF(DAY(OctSun1)=1,IF(AND(YEAR(OctSun1+10)=CalendarYear,MONTH(OctSun1+10)=10),OctSun1+10,""),IF(AND(YEAR(OctSun1+17)=CalendarYear,MONTH(OctSun1+17)=10),OctSun1+17,""))</f>
        <v>41199</v>
      </c>
      <c r="E9" s="19">
        <f>IF(DAY(OctSun1)=1,IF(AND(YEAR(OctSun1+11)=CalendarYear,MONTH(OctSun1+11)=10),OctSun1+11,""),IF(AND(YEAR(OctSun1+18)=CalendarYear,MONTH(OctSun1+18)=10),OctSun1+18,""))</f>
        <v>41200</v>
      </c>
      <c r="F9" s="19">
        <f>IF(DAY(OctSun1)=1,IF(AND(YEAR(OctSun1+12)=CalendarYear,MONTH(OctSun1+12)=10),OctSun1+12,""),IF(AND(YEAR(OctSun1+19)=CalendarYear,MONTH(OctSun1+19)=10),OctSun1+19,""))</f>
        <v>41201</v>
      </c>
      <c r="G9" s="19">
        <f>IF(DAY(OctSun1)=1,IF(AND(YEAR(OctSun1+13)=CalendarYear,MONTH(OctSun1+13)=10),OctSun1+13,""),IF(AND(YEAR(OctSun1+20)=CalendarYear,MONTH(OctSun1+20)=10),OctSun1+20,""))</f>
        <v>41202</v>
      </c>
      <c r="H9" s="19">
        <f>IF(DAY(OctSun1)=1,IF(AND(YEAR(OctSun1+14)=CalendarYear,MONTH(OctSun1+14)=10),OctSun1+14,""),IF(AND(YEAR(OctSun1+21)=CalendarYear,MONTH(OctSun1+21)=10),OctSun1+21,""))</f>
        <v>41203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IF(DAY(OctSun1)=1,IF(AND(YEAR(OctSun1+15)=CalendarYear,MONTH(OctSun1+15)=10),OctSun1+15,""),IF(AND(YEAR(OctSun1+22)=CalendarYear,MONTH(OctSun1+22)=10),OctSun1+22,""))</f>
        <v>41204</v>
      </c>
      <c r="C11" s="20">
        <f>IF(DAY(OctSun1)=1,IF(AND(YEAR(OctSun1+16)=CalendarYear,MONTH(OctSun1+16)=10),OctSun1+16,""),IF(AND(YEAR(OctSun1+23)=CalendarYear,MONTH(OctSun1+23)=10),OctSun1+23,""))</f>
        <v>41205</v>
      </c>
      <c r="D11" s="20">
        <f>IF(DAY(OctSun1)=1,IF(AND(YEAR(OctSun1+17)=CalendarYear,MONTH(OctSun1+17)=10),OctSun1+17,""),IF(AND(YEAR(OctSun1+24)=CalendarYear,MONTH(OctSun1+24)=10),OctSun1+24,""))</f>
        <v>41206</v>
      </c>
      <c r="E11" s="20">
        <f>IF(DAY(OctSun1)=1,IF(AND(YEAR(OctSun1+18)=CalendarYear,MONTH(OctSun1+18)=10),OctSun1+18,""),IF(AND(YEAR(OctSun1+25)=CalendarYear,MONTH(OctSun1+25)=10),OctSun1+25,""))</f>
        <v>41207</v>
      </c>
      <c r="F11" s="20">
        <f>IF(DAY(OctSun1)=1,IF(AND(YEAR(OctSun1+19)=CalendarYear,MONTH(OctSun1+19)=10),OctSun1+19,""),IF(AND(YEAR(OctSun1+26)=CalendarYear,MONTH(OctSun1+26)=10),OctSun1+26,""))</f>
        <v>41208</v>
      </c>
      <c r="G11" s="20">
        <f>IF(DAY(OctSun1)=1,IF(AND(YEAR(OctSun1+20)=CalendarYear,MONTH(OctSun1+20)=10),OctSun1+20,""),IF(AND(YEAR(OctSun1+27)=CalendarYear,MONTH(OctSun1+27)=10),OctSun1+27,""))</f>
        <v>41209</v>
      </c>
      <c r="H11" s="20">
        <f>IF(DAY(OctSun1)=1,IF(AND(YEAR(OctSun1+21)=CalendarYear,MONTH(OctSun1+21)=10),OctSun1+21,""),IF(AND(YEAR(OctSun1+28)=CalendarYear,MONTH(OctSun1+28)=10),OctSun1+28,""))</f>
        <v>41210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IF(DAY(OctSun1)=1,IF(AND(YEAR(OctSun1+22)=CalendarYear,MONTH(OctSun1+22)=10),OctSun1+22,""),IF(AND(YEAR(OctSun1+29)=CalendarYear,MONTH(OctSun1+29)=10),OctSun1+29,""))</f>
        <v>41211</v>
      </c>
      <c r="C13" s="19">
        <f>IF(DAY(OctSun1)=1,IF(AND(YEAR(OctSun1+23)=CalendarYear,MONTH(OctSun1+23)=10),OctSun1+23,""),IF(AND(YEAR(OctSun1+30)=CalendarYear,MONTH(OctSun1+30)=10),OctSun1+30,""))</f>
        <v>41212</v>
      </c>
      <c r="D13" s="19">
        <f>IF(DAY(OctSun1)=1,IF(AND(YEAR(OctSun1+24)=CalendarYear,MONTH(OctSun1+24)=10),OctSun1+24,""),IF(AND(YEAR(OctSun1+31)=CalendarYear,MONTH(OctSun1+31)=10),OctSun1+31,""))</f>
        <v>41213</v>
      </c>
      <c r="E13" s="19" t="str">
        <f>IF(DAY(OctSun1)=1,IF(AND(YEAR(OctSun1+25)=CalendarYear,MONTH(OctSun1+25)=10),OctSun1+25,""),IF(AND(YEAR(OctSun1+32)=CalendarYear,MONTH(OctSun1+32)=10),OctSun1+32,""))</f>
        <v/>
      </c>
      <c r="F13" s="19" t="str">
        <f>IF(DAY(OctSun1)=1,IF(AND(YEAR(OctSun1+26)=CalendarYear,MONTH(OctSun1+26)=10),OctSun1+26,""),IF(AND(YEAR(OctSun1+33)=CalendarYear,MONTH(OctSun1+33)=10),OctSun1+33,""))</f>
        <v/>
      </c>
      <c r="G13" s="19" t="str">
        <f>IF(DAY(OctSun1)=1,IF(AND(YEAR(OctSun1+27)=CalendarYear,MONTH(OctSun1+27)=10),OctSun1+27,""),IF(AND(YEAR(OctSun1+34)=CalendarYear,MONTH(OctSun1+34)=10),OctSun1+34,""))</f>
        <v/>
      </c>
      <c r="H13" s="19" t="str">
        <f>IF(DAY(OctSun1)=1,IF(AND(YEAR(OctSun1+28)=CalendarYear,MONTH(OctSun1+28)=10),OctSun1+28,""),IF(AND(YEAR(OctSun1+35)=CalendarYear,MONTH(OctSun1+35)=10),OctSun1+35,""))</f>
        <v/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 t="str">
        <f>IF(DAY(OctSun1)=1,IF(AND(YEAR(OctSun1+29)=CalendarYear,MONTH(OctSun1+29)=10),OctSun1+29,""),IF(AND(YEAR(OctSun1+36)=CalendarYear,MONTH(OctSun1+36)=10),OctSun1+36,""))</f>
        <v/>
      </c>
      <c r="C15" s="21" t="str">
        <f>IF(DAY(OctSun1)=1,IF(AND(YEAR(OctSun1+30)=CalendarYear,MONTH(OctSun1+30)=10),OctSun1+30,""),IF(AND(YEAR(OctSun1+37)=CalendarYear,MONTH(OctSun1+37)=10),OctSun1+37,""))</f>
        <v/>
      </c>
      <c r="D15" s="25" t="s">
        <v>7</v>
      </c>
      <c r="E15" s="26"/>
      <c r="F15" s="26"/>
      <c r="G15" s="26"/>
      <c r="H15" s="27"/>
      <c r="I15" s="3"/>
    </row>
    <row r="16" spans="1:18" ht="55.5" customHeight="1">
      <c r="A16"/>
      <c r="B16" s="12"/>
      <c r="C16" s="12"/>
      <c r="D16" s="22"/>
      <c r="E16" s="23"/>
      <c r="F16" s="23"/>
      <c r="G16" s="23"/>
      <c r="H16" s="24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0" orientation="landscape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H19" sqref="H19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</row>
    <row r="2" spans="1:18" ht="26.25" customHeight="1">
      <c r="A2"/>
    </row>
    <row r="3" spans="1:18" ht="57.75" customHeight="1">
      <c r="A3"/>
      <c r="B3" s="28" t="str">
        <f>UPPER(TEXT(DATE(CalendarYear,11,1),"mmmm yyyy"))</f>
        <v>NOVEMBER 2012</v>
      </c>
      <c r="C3" s="28"/>
      <c r="D3" s="28"/>
      <c r="E3" s="28"/>
      <c r="F3" s="28"/>
    </row>
    <row r="4" spans="1:18" customFormat="1" ht="29.25" customHeight="1">
      <c r="B4" s="14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6" t="s">
        <v>6</v>
      </c>
      <c r="I4" s="1"/>
      <c r="J4" s="1"/>
      <c r="L4" s="1"/>
      <c r="M4" s="7"/>
      <c r="Q4" s="1"/>
      <c r="R4" s="1"/>
    </row>
    <row r="5" spans="1:18" customFormat="1" ht="15" customHeight="1">
      <c r="B5" s="17" t="str">
        <f>IF(DAY(NovSun1)=1,"",IF(AND(YEAR(NovSun1+1)=CalendarYear,MONTH(NovSun1+1)=11),NovSun1+1,""))</f>
        <v/>
      </c>
      <c r="C5" s="17" t="str">
        <f>IF(DAY(NovSun1)=1,"",IF(AND(YEAR(NovSun1+2)=CalendarYear,MONTH(NovSun1+2)=11),NovSun1+2,""))</f>
        <v/>
      </c>
      <c r="D5" s="17" t="str">
        <f>IF(DAY(NovSun1)=1,"",IF(AND(YEAR(NovSun1+3)=CalendarYear,MONTH(NovSun1+3)=11),NovSun1+3,""))</f>
        <v/>
      </c>
      <c r="E5" s="17">
        <f>IF(DAY(NovSun1)=1,"",IF(AND(YEAR(NovSun1+4)=CalendarYear,MONTH(NovSun1+4)=11),NovSun1+4,""))</f>
        <v>41214</v>
      </c>
      <c r="F5" s="17">
        <f>IF(DAY(NovSun1)=1,"",IF(AND(YEAR(NovSun1+5)=CalendarYear,MONTH(NovSun1+5)=11),NovSun1+5,""))</f>
        <v>41215</v>
      </c>
      <c r="G5" s="17">
        <f>IF(DAY(NovSun1)=1,"",IF(AND(YEAR(NovSun1+6)=CalendarYear,MONTH(NovSun1+6)=11),NovSun1+6,""))</f>
        <v>41216</v>
      </c>
      <c r="H5" s="17">
        <f>IF(DAY(NovSun1)=1,IF(AND(YEAR(NovSun1)=CalendarYear,MONTH(NovSun1)=11),NovSun1,""),IF(AND(YEAR(NovSun1+7)=CalendarYear,MONTH(NovSun1+7)=11),NovSun1+7,""))</f>
        <v>41217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IF(DAY(NovSun1)=1,IF(AND(YEAR(NovSun1+1)=CalendarYear,MONTH(NovSun1+1)=11),NovSun1+1,""),IF(AND(YEAR(NovSun1+8)=CalendarYear,MONTH(NovSun1+8)=11),NovSun1+8,""))</f>
        <v>41218</v>
      </c>
      <c r="C7" s="18">
        <f>IF(DAY(NovSun1)=1,IF(AND(YEAR(NovSun1+2)=CalendarYear,MONTH(NovSun1+2)=11),NovSun1+2,""),IF(AND(YEAR(NovSun1+9)=CalendarYear,MONTH(NovSun1+9)=11),NovSun1+9,""))</f>
        <v>41219</v>
      </c>
      <c r="D7" s="18">
        <f>IF(DAY(NovSun1)=1,IF(AND(YEAR(NovSun1+3)=CalendarYear,MONTH(NovSun1+3)=11),NovSun1+3,""),IF(AND(YEAR(NovSun1+10)=CalendarYear,MONTH(NovSun1+10)=11),NovSun1+10,""))</f>
        <v>41220</v>
      </c>
      <c r="E7" s="18">
        <f>IF(DAY(NovSun1)=1,IF(AND(YEAR(NovSun1+4)=CalendarYear,MONTH(NovSun1+4)=11),NovSun1+4,""),IF(AND(YEAR(NovSun1+11)=CalendarYear,MONTH(NovSun1+11)=11),NovSun1+11,""))</f>
        <v>41221</v>
      </c>
      <c r="F7" s="18">
        <f>IF(DAY(NovSun1)=1,IF(AND(YEAR(NovSun1+5)=CalendarYear,MONTH(NovSun1+5)=11),NovSun1+5,""),IF(AND(YEAR(NovSun1+12)=CalendarYear,MONTH(NovSun1+12)=11),NovSun1+12,""))</f>
        <v>41222</v>
      </c>
      <c r="G7" s="18">
        <f>IF(DAY(NovSun1)=1,IF(AND(YEAR(NovSun1+6)=CalendarYear,MONTH(NovSun1+6)=11),NovSun1+6,""),IF(AND(YEAR(NovSun1+13)=CalendarYear,MONTH(NovSun1+13)=11),NovSun1+13,""))</f>
        <v>41223</v>
      </c>
      <c r="H7" s="18">
        <f>IF(DAY(NovSun1)=1,IF(AND(YEAR(NovSun1+7)=CalendarYear,MONTH(NovSun1+7)=11),NovSun1+7,""),IF(AND(YEAR(NovSun1+14)=CalendarYear,MONTH(NovSun1+14)=11),NovSun1+14,""))</f>
        <v>41224</v>
      </c>
      <c r="I7" s="3"/>
    </row>
    <row r="8" spans="1:18" ht="55.5" customHeight="1">
      <c r="A8"/>
      <c r="B8" s="12"/>
      <c r="C8" s="12"/>
      <c r="D8" s="12"/>
      <c r="E8" s="12"/>
      <c r="F8" s="12"/>
      <c r="G8" s="13"/>
      <c r="H8" s="13"/>
      <c r="I8" s="3"/>
    </row>
    <row r="9" spans="1:18" ht="15" customHeight="1">
      <c r="A9"/>
      <c r="B9" s="19">
        <f>IF(DAY(NovSun1)=1,IF(AND(YEAR(NovSun1+8)=CalendarYear,MONTH(NovSun1+8)=11),NovSun1+8,""),IF(AND(YEAR(NovSun1+15)=CalendarYear,MONTH(NovSun1+15)=11),NovSun1+15,""))</f>
        <v>41225</v>
      </c>
      <c r="C9" s="19">
        <f>IF(DAY(NovSun1)=1,IF(AND(YEAR(NovSun1+9)=CalendarYear,MONTH(NovSun1+9)=11),NovSun1+9,""),IF(AND(YEAR(NovSun1+16)=CalendarYear,MONTH(NovSun1+16)=11),NovSun1+16,""))</f>
        <v>41226</v>
      </c>
      <c r="D9" s="19">
        <f>IF(DAY(NovSun1)=1,IF(AND(YEAR(NovSun1+10)=CalendarYear,MONTH(NovSun1+10)=11),NovSun1+10,""),IF(AND(YEAR(NovSun1+17)=CalendarYear,MONTH(NovSun1+17)=11),NovSun1+17,""))</f>
        <v>41227</v>
      </c>
      <c r="E9" s="19">
        <f>IF(DAY(NovSun1)=1,IF(AND(YEAR(NovSun1+11)=CalendarYear,MONTH(NovSun1+11)=11),NovSun1+11,""),IF(AND(YEAR(NovSun1+18)=CalendarYear,MONTH(NovSun1+18)=11),NovSun1+18,""))</f>
        <v>41228</v>
      </c>
      <c r="F9" s="19">
        <f>IF(DAY(NovSun1)=1,IF(AND(YEAR(NovSun1+12)=CalendarYear,MONTH(NovSun1+12)=11),NovSun1+12,""),IF(AND(YEAR(NovSun1+19)=CalendarYear,MONTH(NovSun1+19)=11),NovSun1+19,""))</f>
        <v>41229</v>
      </c>
      <c r="G9" s="19">
        <f>IF(DAY(NovSun1)=1,IF(AND(YEAR(NovSun1+13)=CalendarYear,MONTH(NovSun1+13)=11),NovSun1+13,""),IF(AND(YEAR(NovSun1+20)=CalendarYear,MONTH(NovSun1+20)=11),NovSun1+20,""))</f>
        <v>41230</v>
      </c>
      <c r="H9" s="19">
        <f>IF(DAY(NovSun1)=1,IF(AND(YEAR(NovSun1+14)=CalendarYear,MONTH(NovSun1+14)=11),NovSun1+14,""),IF(AND(YEAR(NovSun1+21)=CalendarYear,MONTH(NovSun1+21)=11),NovSun1+21,""))</f>
        <v>41231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IF(DAY(NovSun1)=1,IF(AND(YEAR(NovSun1+15)=CalendarYear,MONTH(NovSun1+15)=11),NovSun1+15,""),IF(AND(YEAR(NovSun1+22)=CalendarYear,MONTH(NovSun1+22)=11),NovSun1+22,""))</f>
        <v>41232</v>
      </c>
      <c r="C11" s="20">
        <f>IF(DAY(NovSun1)=1,IF(AND(YEAR(NovSun1+16)=CalendarYear,MONTH(NovSun1+16)=11),NovSun1+16,""),IF(AND(YEAR(NovSun1+23)=CalendarYear,MONTH(NovSun1+23)=11),NovSun1+23,""))</f>
        <v>41233</v>
      </c>
      <c r="D11" s="20">
        <f>IF(DAY(NovSun1)=1,IF(AND(YEAR(NovSun1+17)=CalendarYear,MONTH(NovSun1+17)=11),NovSun1+17,""),IF(AND(YEAR(NovSun1+24)=CalendarYear,MONTH(NovSun1+24)=11),NovSun1+24,""))</f>
        <v>41234</v>
      </c>
      <c r="E11" s="20">
        <f>IF(DAY(NovSun1)=1,IF(AND(YEAR(NovSun1+18)=CalendarYear,MONTH(NovSun1+18)=11),NovSun1+18,""),IF(AND(YEAR(NovSun1+25)=CalendarYear,MONTH(NovSun1+25)=11),NovSun1+25,""))</f>
        <v>41235</v>
      </c>
      <c r="F11" s="20">
        <f>IF(DAY(NovSun1)=1,IF(AND(YEAR(NovSun1+19)=CalendarYear,MONTH(NovSun1+19)=11),NovSun1+19,""),IF(AND(YEAR(NovSun1+26)=CalendarYear,MONTH(NovSun1+26)=11),NovSun1+26,""))</f>
        <v>41236</v>
      </c>
      <c r="G11" s="20">
        <f>IF(DAY(NovSun1)=1,IF(AND(YEAR(NovSun1+20)=CalendarYear,MONTH(NovSun1+20)=11),NovSun1+20,""),IF(AND(YEAR(NovSun1+27)=CalendarYear,MONTH(NovSun1+27)=11),NovSun1+27,""))</f>
        <v>41237</v>
      </c>
      <c r="H11" s="20">
        <f>IF(DAY(NovSun1)=1,IF(AND(YEAR(NovSun1+21)=CalendarYear,MONTH(NovSun1+21)=11),NovSun1+21,""),IF(AND(YEAR(NovSun1+28)=CalendarYear,MONTH(NovSun1+28)=11),NovSun1+28,""))</f>
        <v>41238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IF(DAY(NovSun1)=1,IF(AND(YEAR(NovSun1+22)=CalendarYear,MONTH(NovSun1+22)=11),NovSun1+22,""),IF(AND(YEAR(NovSun1+29)=CalendarYear,MONTH(NovSun1+29)=11),NovSun1+29,""))</f>
        <v>41239</v>
      </c>
      <c r="C13" s="19">
        <f>IF(DAY(NovSun1)=1,IF(AND(YEAR(NovSun1+23)=CalendarYear,MONTH(NovSun1+23)=11),NovSun1+23,""),IF(AND(YEAR(NovSun1+30)=CalendarYear,MONTH(NovSun1+30)=11),NovSun1+30,""))</f>
        <v>41240</v>
      </c>
      <c r="D13" s="19">
        <f>IF(DAY(NovSun1)=1,IF(AND(YEAR(NovSun1+24)=CalendarYear,MONTH(NovSun1+24)=11),NovSun1+24,""),IF(AND(YEAR(NovSun1+31)=CalendarYear,MONTH(NovSun1+31)=11),NovSun1+31,""))</f>
        <v>41241</v>
      </c>
      <c r="E13" s="19">
        <f>IF(DAY(NovSun1)=1,IF(AND(YEAR(NovSun1+25)=CalendarYear,MONTH(NovSun1+25)=11),NovSun1+25,""),IF(AND(YEAR(NovSun1+32)=CalendarYear,MONTH(NovSun1+32)=11),NovSun1+32,""))</f>
        <v>41242</v>
      </c>
      <c r="F13" s="19">
        <f>IF(DAY(NovSun1)=1,IF(AND(YEAR(NovSun1+26)=CalendarYear,MONTH(NovSun1+26)=11),NovSun1+26,""),IF(AND(YEAR(NovSun1+33)=CalendarYear,MONTH(NovSun1+33)=11),NovSun1+33,""))</f>
        <v>41243</v>
      </c>
      <c r="G13" s="19" t="str">
        <f>IF(DAY(NovSun1)=1,IF(AND(YEAR(NovSun1+27)=CalendarYear,MONTH(NovSun1+27)=11),NovSun1+27,""),IF(AND(YEAR(NovSun1+34)=CalendarYear,MONTH(NovSun1+34)=11),NovSun1+34,""))</f>
        <v/>
      </c>
      <c r="H13" s="19" t="str">
        <f>IF(DAY(NovSun1)=1,IF(AND(YEAR(NovSun1+28)=CalendarYear,MONTH(NovSun1+28)=11),NovSun1+28,""),IF(AND(YEAR(NovSun1+35)=CalendarYear,MONTH(NovSun1+35)=11),NovSun1+35,""))</f>
        <v/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 t="str">
        <f>IF(DAY(NovSun1)=1,IF(AND(YEAR(NovSun1+29)=CalendarYear,MONTH(NovSun1+29)=11),NovSun1+29,""),IF(AND(YEAR(NovSun1+36)=CalendarYear,MONTH(NovSun1+36)=11),NovSun1+36,""))</f>
        <v/>
      </c>
      <c r="C15" s="21" t="str">
        <f>IF(DAY(NovSun1)=1,IF(AND(YEAR(NovSun1+30)=CalendarYear,MONTH(NovSun1+30)=11),NovSun1+30,""),IF(AND(YEAR(NovSun1+37)=CalendarYear,MONTH(NovSun1+37)=11),NovSun1+37,""))</f>
        <v/>
      </c>
      <c r="D15" s="25" t="s">
        <v>7</v>
      </c>
      <c r="E15" s="26"/>
      <c r="F15" s="26"/>
      <c r="G15" s="26"/>
      <c r="H15" s="27"/>
      <c r="I15" s="3"/>
    </row>
    <row r="16" spans="1:18" ht="55.5" customHeight="1">
      <c r="A16"/>
      <c r="B16" s="12"/>
      <c r="C16" s="12"/>
      <c r="D16" s="22"/>
      <c r="E16" s="23"/>
      <c r="F16" s="23"/>
      <c r="G16" s="23"/>
      <c r="H16" s="24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0" orientation="landscape" r:id="rId1"/>
  <headerFooter scaleWithDoc="0"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J9" sqref="J9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</row>
    <row r="2" spans="1:18" ht="26.25" customHeight="1">
      <c r="A2"/>
    </row>
    <row r="3" spans="1:18" ht="57.75" customHeight="1">
      <c r="A3"/>
      <c r="B3" s="28" t="str">
        <f>UPPER(TEXT(DATE(CalendarYear,12,1),"mmmm yyyy"))</f>
        <v>DECEMBER 2012</v>
      </c>
      <c r="C3" s="28"/>
      <c r="D3" s="28"/>
      <c r="E3" s="28"/>
      <c r="F3" s="28"/>
    </row>
    <row r="4" spans="1:18" customFormat="1" ht="29.25" customHeight="1">
      <c r="B4" s="14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6" t="s">
        <v>6</v>
      </c>
      <c r="I4" s="1"/>
      <c r="J4" s="1"/>
      <c r="L4" s="1"/>
      <c r="M4" s="7"/>
      <c r="Q4" s="1"/>
      <c r="R4" s="1"/>
    </row>
    <row r="5" spans="1:18" customFormat="1" ht="15" customHeight="1">
      <c r="B5" s="17" t="str">
        <f>IF(DAY(DecSun1)=1,"",IF(AND(YEAR(DecSun1+1)=CalendarYear,MONTH(DecSun1+1)=12),DecSun1+1,""))</f>
        <v/>
      </c>
      <c r="C5" s="17" t="str">
        <f>IF(DAY(DecSun1)=1,"",IF(AND(YEAR(DecSun1+2)=CalendarYear,MONTH(DecSun1+2)=12),DecSun1+2,""))</f>
        <v/>
      </c>
      <c r="D5" s="17" t="str">
        <f>IF(DAY(DecSun1)=1,"",IF(AND(YEAR(DecSun1+3)=CalendarYear,MONTH(DecSun1+3)=12),DecSun1+3,""))</f>
        <v/>
      </c>
      <c r="E5" s="17" t="str">
        <f>IF(DAY(DecSun1)=1,"",IF(AND(YEAR(DecSun1+4)=CalendarYear,MONTH(DecSun1+4)=12),DecSun1+4,""))</f>
        <v/>
      </c>
      <c r="F5" s="17" t="str">
        <f>IF(DAY(DecSun1)=1,"",IF(AND(YEAR(DecSun1+5)=CalendarYear,MONTH(DecSun1+5)=12),DecSun1+5,""))</f>
        <v/>
      </c>
      <c r="G5" s="17">
        <f>IF(DAY(DecSun1)=1,"",IF(AND(YEAR(DecSun1+6)=CalendarYear,MONTH(DecSun1+6)=12),DecSun1+6,""))</f>
        <v>41244</v>
      </c>
      <c r="H5" s="17">
        <f>IF(DAY(DecSun1)=1,IF(AND(YEAR(DecSun1)=CalendarYear,MONTH(DecSun1)=12),DecSun1,""),IF(AND(YEAR(DecSun1+7)=CalendarYear,MONTH(DecSun1+7)=12),DecSun1+7,""))</f>
        <v>41245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IF(DAY(DecSun1)=1,IF(AND(YEAR(DecSun1+1)=CalendarYear,MONTH(DecSun1+1)=12),DecSun1+1,""),IF(AND(YEAR(DecSun1+8)=CalendarYear,MONTH(DecSun1+8)=12),DecSun1+8,""))</f>
        <v>41246</v>
      </c>
      <c r="C7" s="18">
        <f>IF(DAY(DecSun1)=1,IF(AND(YEAR(DecSun1+2)=CalendarYear,MONTH(DecSun1+2)=12),DecSun1+2,""),IF(AND(YEAR(DecSun1+9)=CalendarYear,MONTH(DecSun1+9)=12),DecSun1+9,""))</f>
        <v>41247</v>
      </c>
      <c r="D7" s="18">
        <f>IF(DAY(DecSun1)=1,IF(AND(YEAR(DecSun1+3)=CalendarYear,MONTH(DecSun1+3)=12),DecSun1+3,""),IF(AND(YEAR(DecSun1+10)=CalendarYear,MONTH(DecSun1+10)=12),DecSun1+10,""))</f>
        <v>41248</v>
      </c>
      <c r="E7" s="18">
        <f>IF(DAY(DecSun1)=1,IF(AND(YEAR(DecSun1+4)=CalendarYear,MONTH(DecSun1+4)=12),DecSun1+4,""),IF(AND(YEAR(DecSun1+11)=CalendarYear,MONTH(DecSun1+11)=12),DecSun1+11,""))</f>
        <v>41249</v>
      </c>
      <c r="F7" s="18">
        <f>IF(DAY(DecSun1)=1,IF(AND(YEAR(DecSun1+5)=CalendarYear,MONTH(DecSun1+5)=12),DecSun1+5,""),IF(AND(YEAR(DecSun1+12)=CalendarYear,MONTH(DecSun1+12)=12),DecSun1+12,""))</f>
        <v>41250</v>
      </c>
      <c r="G7" s="18">
        <f>IF(DAY(DecSun1)=1,IF(AND(YEAR(DecSun1+6)=CalendarYear,MONTH(DecSun1+6)=12),DecSun1+6,""),IF(AND(YEAR(DecSun1+13)=CalendarYear,MONTH(DecSun1+13)=12),DecSun1+13,""))</f>
        <v>41251</v>
      </c>
      <c r="H7" s="18">
        <f>IF(DAY(DecSun1)=1,IF(AND(YEAR(DecSun1+7)=CalendarYear,MONTH(DecSun1+7)=12),DecSun1+7,""),IF(AND(YEAR(DecSun1+14)=CalendarYear,MONTH(DecSun1+14)=12),DecSun1+14,""))</f>
        <v>41252</v>
      </c>
      <c r="I7" s="3"/>
    </row>
    <row r="8" spans="1:18" ht="55.5" customHeight="1">
      <c r="A8"/>
      <c r="B8" s="12"/>
      <c r="C8" s="12"/>
      <c r="D8" s="12"/>
      <c r="E8" s="12"/>
      <c r="F8" s="12"/>
      <c r="G8" s="13"/>
      <c r="H8" s="13"/>
      <c r="I8" s="3"/>
    </row>
    <row r="9" spans="1:18" ht="15" customHeight="1">
      <c r="A9"/>
      <c r="B9" s="19">
        <f>IF(DAY(DecSun1)=1,IF(AND(YEAR(DecSun1+8)=CalendarYear,MONTH(DecSun1+8)=12),DecSun1+8,""),IF(AND(YEAR(DecSun1+15)=CalendarYear,MONTH(DecSun1+15)=12),DecSun1+15,""))</f>
        <v>41253</v>
      </c>
      <c r="C9" s="19">
        <f>IF(DAY(DecSun1)=1,IF(AND(YEAR(DecSun1+9)=CalendarYear,MONTH(DecSun1+9)=12),DecSun1+9,""),IF(AND(YEAR(DecSun1+16)=CalendarYear,MONTH(DecSun1+16)=12),DecSun1+16,""))</f>
        <v>41254</v>
      </c>
      <c r="D9" s="19">
        <f>IF(DAY(DecSun1)=1,IF(AND(YEAR(DecSun1+10)=CalendarYear,MONTH(DecSun1+10)=12),DecSun1+10,""),IF(AND(YEAR(DecSun1+17)=CalendarYear,MONTH(DecSun1+17)=12),DecSun1+17,""))</f>
        <v>41255</v>
      </c>
      <c r="E9" s="19">
        <f>IF(DAY(DecSun1)=1,IF(AND(YEAR(DecSun1+11)=CalendarYear,MONTH(DecSun1+11)=12),DecSun1+11,""),IF(AND(YEAR(DecSun1+18)=CalendarYear,MONTH(DecSun1+18)=12),DecSun1+18,""))</f>
        <v>41256</v>
      </c>
      <c r="F9" s="19">
        <f>IF(DAY(DecSun1)=1,IF(AND(YEAR(DecSun1+12)=CalendarYear,MONTH(DecSun1+12)=12),DecSun1+12,""),IF(AND(YEAR(DecSun1+19)=CalendarYear,MONTH(DecSun1+19)=12),DecSun1+19,""))</f>
        <v>41257</v>
      </c>
      <c r="G9" s="19">
        <f>IF(DAY(DecSun1)=1,IF(AND(YEAR(DecSun1+13)=CalendarYear,MONTH(DecSun1+13)=12),DecSun1+13,""),IF(AND(YEAR(DecSun1+20)=CalendarYear,MONTH(DecSun1+20)=12),DecSun1+20,""))</f>
        <v>41258</v>
      </c>
      <c r="H9" s="19">
        <f>IF(DAY(DecSun1)=1,IF(AND(YEAR(DecSun1+14)=CalendarYear,MONTH(DecSun1+14)=12),DecSun1+14,""),IF(AND(YEAR(DecSun1+21)=CalendarYear,MONTH(DecSun1+21)=12),DecSun1+21,""))</f>
        <v>41259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IF(DAY(DecSun1)=1,IF(AND(YEAR(DecSun1+15)=CalendarYear,MONTH(DecSun1+15)=12),DecSun1+15,""),IF(AND(YEAR(DecSun1+22)=CalendarYear,MONTH(DecSun1+22)=12),DecSun1+22,""))</f>
        <v>41260</v>
      </c>
      <c r="C11" s="20">
        <f>IF(DAY(DecSun1)=1,IF(AND(YEAR(DecSun1+16)=CalendarYear,MONTH(DecSun1+16)=12),DecSun1+16,""),IF(AND(YEAR(DecSun1+23)=CalendarYear,MONTH(DecSun1+23)=12),DecSun1+23,""))</f>
        <v>41261</v>
      </c>
      <c r="D11" s="20">
        <f>IF(DAY(DecSun1)=1,IF(AND(YEAR(DecSun1+17)=CalendarYear,MONTH(DecSun1+17)=12),DecSun1+17,""),IF(AND(YEAR(DecSun1+24)=CalendarYear,MONTH(DecSun1+24)=12),DecSun1+24,""))</f>
        <v>41262</v>
      </c>
      <c r="E11" s="20">
        <f>IF(DAY(DecSun1)=1,IF(AND(YEAR(DecSun1+18)=CalendarYear,MONTH(DecSun1+18)=12),DecSun1+18,""),IF(AND(YEAR(DecSun1+25)=CalendarYear,MONTH(DecSun1+25)=12),DecSun1+25,""))</f>
        <v>41263</v>
      </c>
      <c r="F11" s="20">
        <f>IF(DAY(DecSun1)=1,IF(AND(YEAR(DecSun1+19)=CalendarYear,MONTH(DecSun1+19)=12),DecSun1+19,""),IF(AND(YEAR(DecSun1+26)=CalendarYear,MONTH(DecSun1+26)=12),DecSun1+26,""))</f>
        <v>41264</v>
      </c>
      <c r="G11" s="20">
        <f>IF(DAY(DecSun1)=1,IF(AND(YEAR(DecSun1+20)=CalendarYear,MONTH(DecSun1+20)=12),DecSun1+20,""),IF(AND(YEAR(DecSun1+27)=CalendarYear,MONTH(DecSun1+27)=12),DecSun1+27,""))</f>
        <v>41265</v>
      </c>
      <c r="H11" s="20">
        <f>IF(DAY(DecSun1)=1,IF(AND(YEAR(DecSun1+21)=CalendarYear,MONTH(DecSun1+21)=12),DecSun1+21,""),IF(AND(YEAR(DecSun1+28)=CalendarYear,MONTH(DecSun1+28)=12),DecSun1+28,""))</f>
        <v>41266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IF(DAY(DecSun1)=1,IF(AND(YEAR(DecSun1+22)=CalendarYear,MONTH(DecSun1+22)=12),DecSun1+22,""),IF(AND(YEAR(DecSun1+29)=CalendarYear,MONTH(DecSun1+29)=12),DecSun1+29,""))</f>
        <v>41267</v>
      </c>
      <c r="C13" s="19">
        <f>IF(DAY(DecSun1)=1,IF(AND(YEAR(DecSun1+23)=CalendarYear,MONTH(DecSun1+23)=12),DecSun1+23,""),IF(AND(YEAR(DecSun1+30)=CalendarYear,MONTH(DecSun1+30)=12),DecSun1+30,""))</f>
        <v>41268</v>
      </c>
      <c r="D13" s="19">
        <f>IF(DAY(DecSun1)=1,IF(AND(YEAR(DecSun1+24)=CalendarYear,MONTH(DecSun1+24)=12),DecSun1+24,""),IF(AND(YEAR(DecSun1+31)=CalendarYear,MONTH(DecSun1+31)=12),DecSun1+31,""))</f>
        <v>41269</v>
      </c>
      <c r="E13" s="19">
        <f>IF(DAY(DecSun1)=1,IF(AND(YEAR(DecSun1+25)=CalendarYear,MONTH(DecSun1+25)=12),DecSun1+25,""),IF(AND(YEAR(DecSun1+32)=CalendarYear,MONTH(DecSun1+32)=12),DecSun1+32,""))</f>
        <v>41270</v>
      </c>
      <c r="F13" s="19">
        <f>IF(DAY(DecSun1)=1,IF(AND(YEAR(DecSun1+26)=CalendarYear,MONTH(DecSun1+26)=12),DecSun1+26,""),IF(AND(YEAR(DecSun1+33)=CalendarYear,MONTH(DecSun1+33)=12),DecSun1+33,""))</f>
        <v>41271</v>
      </c>
      <c r="G13" s="19">
        <f>IF(DAY(DecSun1)=1,IF(AND(YEAR(DecSun1+27)=CalendarYear,MONTH(DecSun1+27)=12),DecSun1+27,""),IF(AND(YEAR(DecSun1+34)=CalendarYear,MONTH(DecSun1+34)=12),DecSun1+34,""))</f>
        <v>41272</v>
      </c>
      <c r="H13" s="19">
        <f>IF(DAY(DecSun1)=1,IF(AND(YEAR(DecSun1+28)=CalendarYear,MONTH(DecSun1+28)=12),DecSun1+28,""),IF(AND(YEAR(DecSun1+35)=CalendarYear,MONTH(DecSun1+35)=12),DecSun1+35,""))</f>
        <v>41273</v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>
        <f>IF(DAY(DecSun1)=1,IF(AND(YEAR(DecSun1+29)=CalendarYear,MONTH(DecSun1+29)=12),DecSun1+29,""),IF(AND(YEAR(DecSun1+36)=CalendarYear,MONTH(DecSun1+36)=12),DecSun1+36,""))</f>
        <v>41274</v>
      </c>
      <c r="C15" s="21" t="str">
        <f>IF(DAY(DecSun1)=1,IF(AND(YEAR(DecSun1+30)=CalendarYear,MONTH(DecSun1+30)=12),DecSun1+30,""),IF(AND(YEAR(DecSun1+37)=CalendarYear,MONTH(DecSun1+37)=12),DecSun1+37,""))</f>
        <v/>
      </c>
      <c r="D15" s="25" t="s">
        <v>7</v>
      </c>
      <c r="E15" s="26"/>
      <c r="F15" s="26"/>
      <c r="G15" s="26"/>
      <c r="H15" s="27"/>
      <c r="I15" s="3"/>
    </row>
    <row r="16" spans="1:18" ht="55.5" customHeight="1">
      <c r="A16"/>
      <c r="B16" s="12"/>
      <c r="C16" s="12"/>
      <c r="D16" s="22"/>
      <c r="E16" s="23"/>
      <c r="F16" s="23"/>
      <c r="G16" s="23"/>
      <c r="H16" s="24"/>
      <c r="I16" s="3"/>
    </row>
    <row r="17" spans="3:5" ht="22.5" customHeight="1"/>
    <row r="19" spans="3:5" ht="21" customHeight="1">
      <c r="C19" s="6"/>
      <c r="D19" s="5"/>
      <c r="E19" s="4"/>
    </row>
    <row r="20" spans="3:5" ht="19.5" customHeight="1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H22" sqref="H22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</row>
    <row r="2" spans="1:18" ht="26.25" customHeight="1">
      <c r="A2"/>
    </row>
    <row r="3" spans="1:18" ht="57.75" customHeight="1">
      <c r="A3"/>
      <c r="B3" s="28" t="str">
        <f>UPPER(TEXT(DATE(CalendarYear,2,1),"mmmm yyyy"))</f>
        <v>FEBRUARY 2012</v>
      </c>
      <c r="C3" s="28"/>
      <c r="D3" s="28"/>
      <c r="E3" s="28"/>
      <c r="F3" s="28"/>
    </row>
    <row r="4" spans="1:18" customFormat="1" ht="29.25" customHeight="1">
      <c r="B4" s="14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6" t="s">
        <v>6</v>
      </c>
      <c r="I4" s="1"/>
      <c r="J4" s="1"/>
      <c r="L4" s="1"/>
      <c r="M4" s="7"/>
      <c r="Q4" s="1"/>
      <c r="R4" s="1"/>
    </row>
    <row r="5" spans="1:18" customFormat="1" ht="15" customHeight="1">
      <c r="B5" s="17" t="str">
        <f>IF(DAY(FebSun1)=1,"",IF(AND(YEAR(FebSun1+1)=CalendarYear,MONTH(FebSun1+1)=2),FebSun1+1,""))</f>
        <v/>
      </c>
      <c r="C5" s="17" t="str">
        <f>IF(DAY(FebSun1)=1,"",IF(AND(YEAR(FebSun1+2)=CalendarYear,MONTH(FebSun1+2)=2),FebSun1+2,""))</f>
        <v/>
      </c>
      <c r="D5" s="17">
        <f>IF(DAY(FebSun1)=1,"",IF(AND(YEAR(FebSun1+3)=CalendarYear,MONTH(FebSun1+3)=2),FebSun1+3,""))</f>
        <v>40940</v>
      </c>
      <c r="E5" s="17">
        <f>IF(DAY(FebSun1)=1,"",IF(AND(YEAR(FebSun1+4)=CalendarYear,MONTH(FebSun1+4)=2),FebSun1+4,""))</f>
        <v>40941</v>
      </c>
      <c r="F5" s="17">
        <f>IF(DAY(FebSun1)=1,"",IF(AND(YEAR(FebSun1+5)=CalendarYear,MONTH(FebSun1+5)=2),FebSun1+5,""))</f>
        <v>40942</v>
      </c>
      <c r="G5" s="17">
        <f>IF(DAY(FebSun1)=1,"",IF(AND(YEAR(FebSun1+6)=CalendarYear,MONTH(FebSun1+6)=2),FebSun1+6,""))</f>
        <v>40943</v>
      </c>
      <c r="H5" s="17">
        <f>IF(DAY(FebSun1)=1,IF(AND(YEAR(FebSun1)=CalendarYear,MONTH(FebSun1)=2),FebSun1,""),IF(AND(YEAR(FebSun1+7)=CalendarYear,MONTH(FebSun1+7)=2),FebSun1+7,""))</f>
        <v>40944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IF(DAY(FebSun1)=1,IF(AND(YEAR(FebSun1+1)=CalendarYear,MONTH(FebSun1+1)=2),FebSun1+1,""),IF(AND(YEAR(FebSun1+8)=CalendarYear,MONTH(FebSun1+8)=2),FebSun1+8,""))</f>
        <v>40945</v>
      </c>
      <c r="C7" s="18">
        <f>IF(DAY(FebSun1)=1,IF(AND(YEAR(FebSun1+2)=CalendarYear,MONTH(FebSun1+2)=2),FebSun1+2,""),IF(AND(YEAR(FebSun1+9)=CalendarYear,MONTH(FebSun1+9)=2),FebSun1+9,""))</f>
        <v>40946</v>
      </c>
      <c r="D7" s="18">
        <f>IF(DAY(FebSun1)=1,IF(AND(YEAR(FebSun1+3)=CalendarYear,MONTH(FebSun1+3)=2),FebSun1+3,""),IF(AND(YEAR(FebSun1+10)=CalendarYear,MONTH(FebSun1+10)=2),FebSun1+10,""))</f>
        <v>40947</v>
      </c>
      <c r="E7" s="18">
        <f>IF(DAY(FebSun1)=1,IF(AND(YEAR(FebSun1+4)=CalendarYear,MONTH(FebSun1+4)=2),FebSun1+4,""),IF(AND(YEAR(FebSun1+11)=CalendarYear,MONTH(FebSun1+11)=2),FebSun1+11,""))</f>
        <v>40948</v>
      </c>
      <c r="F7" s="18">
        <f>IF(DAY(FebSun1)=1,IF(AND(YEAR(FebSun1+5)=CalendarYear,MONTH(FebSun1+5)=2),FebSun1+5,""),IF(AND(YEAR(FebSun1+12)=CalendarYear,MONTH(FebSun1+12)=2),FebSun1+12,""))</f>
        <v>40949</v>
      </c>
      <c r="G7" s="18">
        <f>IF(DAY(FebSun1)=1,IF(AND(YEAR(FebSun1+6)=CalendarYear,MONTH(FebSun1+6)=2),FebSun1+6,""),IF(AND(YEAR(FebSun1+13)=CalendarYear,MONTH(FebSun1+13)=2),FebSun1+13,""))</f>
        <v>40950</v>
      </c>
      <c r="H7" s="18">
        <f>IF(DAY(FebSun1)=1,IF(AND(YEAR(FebSun1+7)=CalendarYear,MONTH(FebSun1+7)=2),FebSun1+7,""),IF(AND(YEAR(FebSun1+14)=CalendarYear,MONTH(FebSun1+14)=2),FebSun1+14,""))</f>
        <v>40951</v>
      </c>
      <c r="I7" s="3"/>
    </row>
    <row r="8" spans="1:18" ht="55.5" customHeight="1">
      <c r="A8"/>
      <c r="B8" s="12"/>
      <c r="C8" s="12"/>
      <c r="D8" s="12"/>
      <c r="E8" s="12"/>
      <c r="F8" s="12"/>
      <c r="G8" s="13"/>
      <c r="H8" s="13"/>
      <c r="I8" s="3"/>
    </row>
    <row r="9" spans="1:18" ht="15" customHeight="1">
      <c r="A9"/>
      <c r="B9" s="19">
        <f>IF(DAY(FebSun1)=1,IF(AND(YEAR(FebSun1+8)=CalendarYear,MONTH(FebSun1+8)=2),FebSun1+8,""),IF(AND(YEAR(FebSun1+15)=CalendarYear,MONTH(FebSun1+15)=2),FebSun1+15,""))</f>
        <v>40952</v>
      </c>
      <c r="C9" s="19">
        <f>IF(DAY(FebSun1)=1,IF(AND(YEAR(FebSun1+9)=CalendarYear,MONTH(FebSun1+9)=2),FebSun1+9,""),IF(AND(YEAR(FebSun1+16)=CalendarYear,MONTH(FebSun1+16)=2),FebSun1+16,""))</f>
        <v>40953</v>
      </c>
      <c r="D9" s="19">
        <f>IF(DAY(FebSun1)=1,IF(AND(YEAR(FebSun1+10)=CalendarYear,MONTH(FebSun1+10)=2),FebSun1+10,""),IF(AND(YEAR(FebSun1+17)=CalendarYear,MONTH(FebSun1+17)=2),FebSun1+17,""))</f>
        <v>40954</v>
      </c>
      <c r="E9" s="19">
        <f>IF(DAY(FebSun1)=1,IF(AND(YEAR(FebSun1+11)=CalendarYear,MONTH(FebSun1+11)=2),FebSun1+11,""),IF(AND(YEAR(FebSun1+18)=CalendarYear,MONTH(FebSun1+18)=2),FebSun1+18,""))</f>
        <v>40955</v>
      </c>
      <c r="F9" s="19">
        <f>IF(DAY(FebSun1)=1,IF(AND(YEAR(FebSun1+12)=CalendarYear,MONTH(FebSun1+12)=2),FebSun1+12,""),IF(AND(YEAR(FebSun1+19)=CalendarYear,MONTH(FebSun1+19)=2),FebSun1+19,""))</f>
        <v>40956</v>
      </c>
      <c r="G9" s="19">
        <f>IF(DAY(FebSun1)=1,IF(AND(YEAR(FebSun1+13)=CalendarYear,MONTH(FebSun1+13)=2),FebSun1+13,""),IF(AND(YEAR(FebSun1+20)=CalendarYear,MONTH(FebSun1+20)=2),FebSun1+20,""))</f>
        <v>40957</v>
      </c>
      <c r="H9" s="19">
        <f>IF(DAY(FebSun1)=1,IF(AND(YEAR(FebSun1+14)=CalendarYear,MONTH(FebSun1+14)=2),FebSun1+14,""),IF(AND(YEAR(FebSun1+21)=CalendarYear,MONTH(FebSun1+21)=2),FebSun1+21,""))</f>
        <v>40958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IF(DAY(FebSun1)=1,IF(AND(YEAR(FebSun1+15)=CalendarYear,MONTH(FebSun1+15)=2),FebSun1+15,""),IF(AND(YEAR(FebSun1+22)=CalendarYear,MONTH(FebSun1+22)=2),FebSun1+22,""))</f>
        <v>40959</v>
      </c>
      <c r="C11" s="20">
        <f>IF(DAY(FebSun1)=1,IF(AND(YEAR(FebSun1+16)=CalendarYear,MONTH(FebSun1+16)=2),FebSun1+16,""),IF(AND(YEAR(FebSun1+23)=CalendarYear,MONTH(FebSun1+23)=2),FebSun1+23,""))</f>
        <v>40960</v>
      </c>
      <c r="D11" s="20">
        <f>IF(DAY(FebSun1)=1,IF(AND(YEAR(FebSun1+17)=CalendarYear,MONTH(FebSun1+17)=2),FebSun1+17,""),IF(AND(YEAR(FebSun1+24)=CalendarYear,MONTH(FebSun1+24)=2),FebSun1+24,""))</f>
        <v>40961</v>
      </c>
      <c r="E11" s="20">
        <f>IF(DAY(FebSun1)=1,IF(AND(YEAR(FebSun1+18)=CalendarYear,MONTH(FebSun1+18)=2),FebSun1+18,""),IF(AND(YEAR(FebSun1+25)=CalendarYear,MONTH(FebSun1+25)=2),FebSun1+25,""))</f>
        <v>40962</v>
      </c>
      <c r="F11" s="29">
        <f>IF(DAY(FebSun1)=1,IF(AND(YEAR(FebSun1+19)=CalendarYear,MONTH(FebSun1+19)=2),FebSun1+19,""),IF(AND(YEAR(FebSun1+26)=CalendarYear,MONTH(FebSun1+26)=2),FebSun1+26,""))</f>
        <v>40963</v>
      </c>
      <c r="G11" s="20">
        <f>IF(DAY(FebSun1)=1,IF(AND(YEAR(FebSun1+20)=CalendarYear,MONTH(FebSun1+20)=2),FebSun1+20,""),IF(AND(YEAR(FebSun1+27)=CalendarYear,MONTH(FebSun1+27)=2),FebSun1+27,""))</f>
        <v>40964</v>
      </c>
      <c r="H11" s="20">
        <f>IF(DAY(FebSun1)=1,IF(AND(YEAR(FebSun1+21)=CalendarYear,MONTH(FebSun1+21)=2),FebSun1+21,""),IF(AND(YEAR(FebSun1+28)=CalendarYear,MONTH(FebSun1+28)=2),FebSun1+28,""))</f>
        <v>40965</v>
      </c>
      <c r="I11" s="3"/>
    </row>
    <row r="12" spans="1:18" ht="55.5" customHeight="1">
      <c r="A12"/>
      <c r="B12" s="12"/>
      <c r="C12" s="12"/>
      <c r="D12" s="12"/>
      <c r="E12" s="12"/>
      <c r="F12" s="30" t="s">
        <v>9</v>
      </c>
      <c r="G12" s="13"/>
      <c r="H12" s="13"/>
      <c r="I12" s="3"/>
    </row>
    <row r="13" spans="1:18" ht="15" customHeight="1">
      <c r="A13"/>
      <c r="B13" s="19">
        <f>IF(DAY(FebSun1)=1,IF(AND(YEAR(FebSun1+22)=CalendarYear,MONTH(FebSun1+22)=2),FebSun1+22,""),IF(AND(YEAR(FebSun1+29)=CalendarYear,MONTH(FebSun1+29)=2),FebSun1+29,""))</f>
        <v>40966</v>
      </c>
      <c r="C13" s="19">
        <f>IF(DAY(FebSun1)=1,IF(AND(YEAR(FebSun1+23)=CalendarYear,MONTH(FebSun1+23)=2),FebSun1+23,""),IF(AND(YEAR(FebSun1+30)=CalendarYear,MONTH(FebSun1+30)=2),FebSun1+30,""))</f>
        <v>40967</v>
      </c>
      <c r="D13" s="19">
        <f>IF(DAY(FebSun1)=1,IF(AND(YEAR(FebSun1+24)=CalendarYear,MONTH(FebSun1+24)=2),FebSun1+24,""),IF(AND(YEAR(FebSun1+31)=CalendarYear,MONTH(FebSun1+31)=2),FebSun1+31,""))</f>
        <v>40968</v>
      </c>
      <c r="E13" s="19" t="str">
        <f>IF(DAY(FebSun1)=1,IF(AND(YEAR(FebSun1+25)=CalendarYear,MONTH(FebSun1+25)=2),FebSun1+25,""),IF(AND(YEAR(FebSun1+32)=CalendarYear,MONTH(FebSun1+32)=2),FebSun1+32,""))</f>
        <v/>
      </c>
      <c r="F13" s="19" t="str">
        <f>IF(DAY(FebSun1)=1,IF(AND(YEAR(FebSun1+26)=CalendarYear,MONTH(FebSun1+26)=2),FebSun1+26,""),IF(AND(YEAR(FebSun1+33)=CalendarYear,MONTH(FebSun1+33)=2),FebSun1+33,""))</f>
        <v/>
      </c>
      <c r="G13" s="19" t="str">
        <f>IF(DAY(FebSun1)=1,IF(AND(YEAR(FebSun1+27)=CalendarYear,MONTH(FebSun1+27)=2),FebSun1+27,""),IF(AND(YEAR(FebSun1+34)=CalendarYear,MONTH(FebSun1+34)=2),FebSun1+34,""))</f>
        <v/>
      </c>
      <c r="H13" s="19" t="str">
        <f>IF(DAY(FebSun1)=1,IF(AND(YEAR(FebSun1+28)=CalendarYear,MONTH(FebSun1+28)=2),FebSun1+28,""),IF(AND(YEAR(FebSun1+35)=CalendarYear,MONTH(FebSun1+35)=2),FebSun1+35,""))</f>
        <v/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 t="str">
        <f>IF(DAY(FebSun1)=1,IF(AND(YEAR(FebSun1+29)=CalendarYear,MONTH(FebSun1+29)=2),FebSun1+29,""),IF(AND(YEAR(FebSun1+36)=CalendarYear,MONTH(FebSun1+36)=2),FebSun1+36,""))</f>
        <v/>
      </c>
      <c r="C15" s="21" t="str">
        <f>IF(DAY(FebSun1)=1,IF(AND(YEAR(FebSun1+30)=CalendarYear,MONTH(FebSun1+30)=2),FebSun1+30,""),IF(AND(YEAR(FebSun1+37)=CalendarYear,MONTH(FebSun1+37)=2),FebSun1+37,""))</f>
        <v/>
      </c>
      <c r="D15" s="25" t="s">
        <v>7</v>
      </c>
      <c r="E15" s="26"/>
      <c r="F15" s="26"/>
      <c r="G15" s="26"/>
      <c r="H15" s="27"/>
      <c r="I15" s="3"/>
    </row>
    <row r="16" spans="1:18" ht="55.5" customHeight="1">
      <c r="A16"/>
      <c r="B16" s="12"/>
      <c r="C16" s="12"/>
      <c r="D16" s="22"/>
      <c r="E16" s="23"/>
      <c r="F16" s="23"/>
      <c r="G16" s="23"/>
      <c r="H16" s="24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0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tabSelected="1" zoomScale="86" zoomScaleNormal="86" workbookViewId="0">
      <selection activeCell="C8" sqref="C8"/>
    </sheetView>
  </sheetViews>
  <sheetFormatPr defaultColWidth="6.6640625" defaultRowHeight="14.25"/>
  <cols>
    <col min="1" max="1" width="3.109375" style="1" customWidth="1"/>
    <col min="2" max="5" width="13.77734375" style="1" customWidth="1"/>
    <col min="6" max="6" width="22.33203125" style="1" customWidth="1"/>
    <col min="7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</row>
    <row r="2" spans="1:18" ht="26.25" customHeight="1">
      <c r="A2"/>
    </row>
    <row r="3" spans="1:18" ht="57.75" customHeight="1">
      <c r="A3"/>
      <c r="B3" s="28" t="str">
        <f>UPPER(TEXT(DATE(CalendarYear,3,1),"mmmm yyyy"))</f>
        <v>MARCH 2012</v>
      </c>
      <c r="C3" s="28"/>
      <c r="D3" s="28"/>
      <c r="E3" s="28"/>
      <c r="F3" s="28"/>
    </row>
    <row r="4" spans="1:18" customFormat="1" ht="29.25" customHeight="1">
      <c r="B4" s="14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6" t="s">
        <v>6</v>
      </c>
      <c r="I4" s="1"/>
      <c r="J4" s="1"/>
      <c r="L4" s="1"/>
      <c r="M4" s="7"/>
      <c r="Q4" s="1"/>
      <c r="R4" s="1"/>
    </row>
    <row r="5" spans="1:18" customFormat="1" ht="15" customHeight="1">
      <c r="B5" s="17" t="str">
        <f>IF(DAY(MarSun1)=1,"",IF(AND(YEAR(MarSun1+1)=CalendarYear,MONTH(MarSun1+1)=3),MarSun1+1,""))</f>
        <v/>
      </c>
      <c r="C5" s="17" t="str">
        <f>IF(DAY(MarSun1)=1,"",IF(AND(YEAR(MarSun1+2)=CalendarYear,MONTH(MarSun1+2)=3),MarSun1+2,""))</f>
        <v/>
      </c>
      <c r="D5" s="17" t="str">
        <f>IF(DAY(MarSun1)=1,"",IF(AND(YEAR(MarSun1+3)=CalendarYear,MONTH(MarSun1+3)=3),MarSun1+3,""))</f>
        <v/>
      </c>
      <c r="E5" s="17">
        <f>IF(DAY(MarSun1)=1,"",IF(AND(YEAR(MarSun1+4)=CalendarYear,MONTH(MarSun1+4)=3),MarSun1+4,""))</f>
        <v>40969</v>
      </c>
      <c r="F5" s="17">
        <f>IF(DAY(MarSun1)=1,"",IF(AND(YEAR(MarSun1+5)=CalendarYear,MONTH(MarSun1+5)=3),MarSun1+5,""))</f>
        <v>40970</v>
      </c>
      <c r="G5" s="17">
        <f>IF(DAY(MarSun1)=1,"",IF(AND(YEAR(MarSun1+6)=CalendarYear,MONTH(MarSun1+6)=3),MarSun1+6,""))</f>
        <v>40971</v>
      </c>
      <c r="H5" s="17">
        <f>IF(DAY(MarSun1)=1,IF(AND(YEAR(MarSun1)=CalendarYear,MONTH(MarSun1)=3),MarSun1,""),IF(AND(YEAR(MarSun1+7)=CalendarYear,MONTH(MarSun1+7)=3),MarSun1+7,""))</f>
        <v>40972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31" t="s">
        <v>11</v>
      </c>
      <c r="G6" s="11"/>
      <c r="H6" s="11"/>
      <c r="I6" s="3"/>
    </row>
    <row r="7" spans="1:18" ht="15" customHeight="1">
      <c r="A7"/>
      <c r="B7" s="18">
        <f>IF(DAY(MarSun1)=1,IF(AND(YEAR(MarSun1+1)=CalendarYear,MONTH(MarSun1+1)=3),MarSun1+1,""),IF(AND(YEAR(MarSun1+8)=CalendarYear,MONTH(MarSun1+8)=3),MarSun1+8,""))</f>
        <v>40973</v>
      </c>
      <c r="C7" s="18">
        <f>IF(DAY(MarSun1)=1,IF(AND(YEAR(MarSun1+2)=CalendarYear,MONTH(MarSun1+2)=3),MarSun1+2,""),IF(AND(YEAR(MarSun1+9)=CalendarYear,MONTH(MarSun1+9)=3),MarSun1+9,""))</f>
        <v>40974</v>
      </c>
      <c r="D7" s="18">
        <f>IF(DAY(MarSun1)=1,IF(AND(YEAR(MarSun1+3)=CalendarYear,MONTH(MarSun1+3)=3),MarSun1+3,""),IF(AND(YEAR(MarSun1+10)=CalendarYear,MONTH(MarSun1+10)=3),MarSun1+10,""))</f>
        <v>40975</v>
      </c>
      <c r="E7" s="18">
        <f>IF(DAY(MarSun1)=1,IF(AND(YEAR(MarSun1+4)=CalendarYear,MONTH(MarSun1+4)=3),MarSun1+4,""),IF(AND(YEAR(MarSun1+11)=CalendarYear,MONTH(MarSun1+11)=3),MarSun1+11,""))</f>
        <v>40976</v>
      </c>
      <c r="F7" s="18">
        <f>IF(DAY(MarSun1)=1,IF(AND(YEAR(MarSun1+5)=CalendarYear,MONTH(MarSun1+5)=3),MarSun1+5,""),IF(AND(YEAR(MarSun1+12)=CalendarYear,MONTH(MarSun1+12)=3),MarSun1+12,""))</f>
        <v>40977</v>
      </c>
      <c r="G7" s="18">
        <f>IF(DAY(MarSun1)=1,IF(AND(YEAR(MarSun1+6)=CalendarYear,MONTH(MarSun1+6)=3),MarSun1+6,""),IF(AND(YEAR(MarSun1+13)=CalendarYear,MONTH(MarSun1+13)=3),MarSun1+13,""))</f>
        <v>40978</v>
      </c>
      <c r="H7" s="18">
        <f>IF(DAY(MarSun1)=1,IF(AND(YEAR(MarSun1+7)=CalendarYear,MONTH(MarSun1+7)=3),MarSun1+7,""),IF(AND(YEAR(MarSun1+14)=CalendarYear,MONTH(MarSun1+14)=3),MarSun1+14,""))</f>
        <v>40979</v>
      </c>
      <c r="I7" s="3"/>
    </row>
    <row r="8" spans="1:18" ht="55.5" customHeight="1">
      <c r="A8"/>
      <c r="B8" s="32" t="s">
        <v>10</v>
      </c>
      <c r="C8" s="12"/>
      <c r="D8" s="12"/>
      <c r="E8" s="12"/>
      <c r="F8" s="12"/>
      <c r="G8" s="13"/>
      <c r="H8" s="13"/>
      <c r="I8" s="3"/>
    </row>
    <row r="9" spans="1:18" ht="15" customHeight="1">
      <c r="A9"/>
      <c r="B9" s="19">
        <f>IF(DAY(MarSun1)=1,IF(AND(YEAR(MarSun1+8)=CalendarYear,MONTH(MarSun1+8)=3),MarSun1+8,""),IF(AND(YEAR(MarSun1+15)=CalendarYear,MONTH(MarSun1+15)=3),MarSun1+15,""))</f>
        <v>40980</v>
      </c>
      <c r="C9" s="19">
        <f>IF(DAY(MarSun1)=1,IF(AND(YEAR(MarSun1+9)=CalendarYear,MONTH(MarSun1+9)=3),MarSun1+9,""),IF(AND(YEAR(MarSun1+16)=CalendarYear,MONTH(MarSun1+16)=3),MarSun1+16,""))</f>
        <v>40981</v>
      </c>
      <c r="D9" s="19">
        <f>IF(DAY(MarSun1)=1,IF(AND(YEAR(MarSun1+10)=CalendarYear,MONTH(MarSun1+10)=3),MarSun1+10,""),IF(AND(YEAR(MarSun1+17)=CalendarYear,MONTH(MarSun1+17)=3),MarSun1+17,""))</f>
        <v>40982</v>
      </c>
      <c r="E9" s="19">
        <f>IF(DAY(MarSun1)=1,IF(AND(YEAR(MarSun1+11)=CalendarYear,MONTH(MarSun1+11)=3),MarSun1+11,""),IF(AND(YEAR(MarSun1+18)=CalendarYear,MONTH(MarSun1+18)=3),MarSun1+18,""))</f>
        <v>40983</v>
      </c>
      <c r="F9" s="19">
        <f>IF(DAY(MarSun1)=1,IF(AND(YEAR(MarSun1+12)=CalendarYear,MONTH(MarSun1+12)=3),MarSun1+12,""),IF(AND(YEAR(MarSun1+19)=CalendarYear,MONTH(MarSun1+19)=3),MarSun1+19,""))</f>
        <v>40984</v>
      </c>
      <c r="G9" s="19">
        <f>IF(DAY(MarSun1)=1,IF(AND(YEAR(MarSun1+13)=CalendarYear,MONTH(MarSun1+13)=3),MarSun1+13,""),IF(AND(YEAR(MarSun1+20)=CalendarYear,MONTH(MarSun1+20)=3),MarSun1+20,""))</f>
        <v>40985</v>
      </c>
      <c r="H9" s="19">
        <f>IF(DAY(MarSun1)=1,IF(AND(YEAR(MarSun1+14)=CalendarYear,MONTH(MarSun1+14)=3),MarSun1+14,""),IF(AND(YEAR(MarSun1+21)=CalendarYear,MONTH(MarSun1+21)=3),MarSun1+21,""))</f>
        <v>40986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IF(DAY(MarSun1)=1,IF(AND(YEAR(MarSun1+15)=CalendarYear,MONTH(MarSun1+15)=3),MarSun1+15,""),IF(AND(YEAR(MarSun1+22)=CalendarYear,MONTH(MarSun1+22)=3),MarSun1+22,""))</f>
        <v>40987</v>
      </c>
      <c r="C11" s="20">
        <f>IF(DAY(MarSun1)=1,IF(AND(YEAR(MarSun1+16)=CalendarYear,MONTH(MarSun1+16)=3),MarSun1+16,""),IF(AND(YEAR(MarSun1+23)=CalendarYear,MONTH(MarSun1+23)=3),MarSun1+23,""))</f>
        <v>40988</v>
      </c>
      <c r="D11" s="20">
        <f>IF(DAY(MarSun1)=1,IF(AND(YEAR(MarSun1+17)=CalendarYear,MONTH(MarSun1+17)=3),MarSun1+17,""),IF(AND(YEAR(MarSun1+24)=CalendarYear,MONTH(MarSun1+24)=3),MarSun1+24,""))</f>
        <v>40989</v>
      </c>
      <c r="E11" s="20">
        <f>IF(DAY(MarSun1)=1,IF(AND(YEAR(MarSun1+18)=CalendarYear,MONTH(MarSun1+18)=3),MarSun1+18,""),IF(AND(YEAR(MarSun1+25)=CalendarYear,MONTH(MarSun1+25)=3),MarSun1+25,""))</f>
        <v>40990</v>
      </c>
      <c r="F11" s="20">
        <f>IF(DAY(MarSun1)=1,IF(AND(YEAR(MarSun1+19)=CalendarYear,MONTH(MarSun1+19)=3),MarSun1+19,""),IF(AND(YEAR(MarSun1+26)=CalendarYear,MONTH(MarSun1+26)=3),MarSun1+26,""))</f>
        <v>40991</v>
      </c>
      <c r="G11" s="20">
        <f>IF(DAY(MarSun1)=1,IF(AND(YEAR(MarSun1+20)=CalendarYear,MONTH(MarSun1+20)=3),MarSun1+20,""),IF(AND(YEAR(MarSun1+27)=CalendarYear,MONTH(MarSun1+27)=3),MarSun1+27,""))</f>
        <v>40992</v>
      </c>
      <c r="H11" s="20">
        <f>IF(DAY(MarSun1)=1,IF(AND(YEAR(MarSun1+21)=CalendarYear,MONTH(MarSun1+21)=3),MarSun1+21,""),IF(AND(YEAR(MarSun1+28)=CalendarYear,MONTH(MarSun1+28)=3),MarSun1+28,""))</f>
        <v>40993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IF(DAY(MarSun1)=1,IF(AND(YEAR(MarSun1+22)=CalendarYear,MONTH(MarSun1+22)=3),MarSun1+22,""),IF(AND(YEAR(MarSun1+29)=CalendarYear,MONTH(MarSun1+29)=3),MarSun1+29,""))</f>
        <v>40994</v>
      </c>
      <c r="C13" s="19">
        <f>IF(DAY(MarSun1)=1,IF(AND(YEAR(MarSun1+23)=CalendarYear,MONTH(MarSun1+23)=3),MarSun1+23,""),IF(AND(YEAR(MarSun1+30)=CalendarYear,MONTH(MarSun1+30)=3),MarSun1+30,""))</f>
        <v>40995</v>
      </c>
      <c r="D13" s="19">
        <f>IF(DAY(MarSun1)=1,IF(AND(YEAR(MarSun1+24)=CalendarYear,MONTH(MarSun1+24)=3),MarSun1+24,""),IF(AND(YEAR(MarSun1+31)=CalendarYear,MONTH(MarSun1+31)=3),MarSun1+31,""))</f>
        <v>40996</v>
      </c>
      <c r="E13" s="19">
        <f>IF(DAY(MarSun1)=1,IF(AND(YEAR(MarSun1+25)=CalendarYear,MONTH(MarSun1+25)=3),MarSun1+25,""),IF(AND(YEAR(MarSun1+32)=CalendarYear,MONTH(MarSun1+32)=3),MarSun1+32,""))</f>
        <v>40997</v>
      </c>
      <c r="F13" s="19">
        <f>IF(DAY(MarSun1)=1,IF(AND(YEAR(MarSun1+26)=CalendarYear,MONTH(MarSun1+26)=3),MarSun1+26,""),IF(AND(YEAR(MarSun1+33)=CalendarYear,MONTH(MarSun1+33)=3),MarSun1+33,""))</f>
        <v>40998</v>
      </c>
      <c r="G13" s="19">
        <f>IF(DAY(MarSun1)=1,IF(AND(YEAR(MarSun1+27)=CalendarYear,MONTH(MarSun1+27)=3),MarSun1+27,""),IF(AND(YEAR(MarSun1+34)=CalendarYear,MONTH(MarSun1+34)=3),MarSun1+34,""))</f>
        <v>40999</v>
      </c>
      <c r="H13" s="19" t="str">
        <f>IF(DAY(MarSun1)=1,IF(AND(YEAR(MarSun1+28)=CalendarYear,MONTH(MarSun1+28)=3),MarSun1+28,""),IF(AND(YEAR(MarSun1+35)=CalendarYear,MONTH(MarSun1+35)=3),MarSun1+35,""))</f>
        <v/>
      </c>
      <c r="I13" s="3"/>
    </row>
    <row r="14" spans="1:18" ht="66" customHeight="1">
      <c r="A14"/>
      <c r="B14" s="10"/>
      <c r="C14" s="10"/>
      <c r="D14" s="10"/>
      <c r="E14" s="10"/>
      <c r="F14" s="35" t="s">
        <v>15</v>
      </c>
      <c r="G14" s="11"/>
      <c r="H14" s="11"/>
      <c r="I14" s="3"/>
    </row>
    <row r="15" spans="1:18" ht="15" customHeight="1">
      <c r="A15"/>
      <c r="B15" s="20" t="str">
        <f>IF(DAY(MarSun1)=1,IF(AND(YEAR(MarSun1+29)=CalendarYear,MONTH(MarSun1+29)=3),MarSun1+29,""),IF(AND(YEAR(MarSun1+36)=CalendarYear,MONTH(MarSun1+36)=3),MarSun1+36,""))</f>
        <v/>
      </c>
      <c r="C15" s="21" t="str">
        <f>IF(DAY(MarSun1)=1,IF(AND(YEAR(MarSun1+30)=CalendarYear,MONTH(MarSun1+30)=3),MarSun1+30,""),IF(AND(YEAR(MarSun1+37)=CalendarYear,MONTH(MarSun1+37)=3),MarSun1+37,""))</f>
        <v/>
      </c>
      <c r="D15" s="25" t="s">
        <v>7</v>
      </c>
      <c r="E15" s="26"/>
      <c r="F15" s="26"/>
      <c r="G15" s="26"/>
      <c r="H15" s="27"/>
      <c r="I15" s="3"/>
    </row>
    <row r="16" spans="1:18" ht="55.5" customHeight="1">
      <c r="A16"/>
      <c r="B16" s="12"/>
      <c r="C16" s="12"/>
      <c r="D16" s="22"/>
      <c r="E16" s="23"/>
      <c r="F16" s="23"/>
      <c r="G16" s="23"/>
      <c r="H16" s="24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0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B10" sqref="B10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</row>
    <row r="2" spans="1:18" ht="26.25" customHeight="1">
      <c r="A2"/>
    </row>
    <row r="3" spans="1:18" ht="57.75" customHeight="1">
      <c r="A3"/>
      <c r="B3" s="28" t="str">
        <f>UPPER(TEXT(DATE(CalendarYear,4,1),"mmmm yyyy"))</f>
        <v>APRIL 2012</v>
      </c>
      <c r="C3" s="28"/>
      <c r="D3" s="28"/>
      <c r="E3" s="28"/>
      <c r="F3" s="28"/>
    </row>
    <row r="4" spans="1:18" customFormat="1" ht="29.25" customHeight="1">
      <c r="B4" s="14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6" t="s">
        <v>6</v>
      </c>
      <c r="I4" s="1"/>
      <c r="J4" s="1"/>
      <c r="L4" s="1"/>
      <c r="M4" s="7"/>
      <c r="Q4" s="1"/>
      <c r="R4" s="1"/>
    </row>
    <row r="5" spans="1:18" customFormat="1" ht="15" customHeight="1">
      <c r="B5" s="17" t="str">
        <f>IF(DAY(AprSun1)=1,"",IF(AND(YEAR(AprSun1+1)=CalendarYear,MONTH(AprSun1+1)=4),AprSun1+1,""))</f>
        <v/>
      </c>
      <c r="C5" s="17" t="str">
        <f>IF(DAY(AprSun1)=1,"",IF(AND(YEAR(AprSun1+2)=CalendarYear,MONTH(AprSun1+2)=4),AprSun1+2,""))</f>
        <v/>
      </c>
      <c r="D5" s="17" t="str">
        <f>IF(DAY(AprSun1)=1,"",IF(AND(YEAR(AprSun1+3)=CalendarYear,MONTH(AprSun1+3)=4),AprSun1+3,""))</f>
        <v/>
      </c>
      <c r="E5" s="17" t="str">
        <f>IF(DAY(AprSun1)=1,"",IF(AND(YEAR(AprSun1+4)=CalendarYear,MONTH(AprSun1+4)=4),AprSun1+4,""))</f>
        <v/>
      </c>
      <c r="F5" s="17" t="str">
        <f>IF(DAY(AprSun1)=1,"",IF(AND(YEAR(AprSun1+5)=CalendarYear,MONTH(AprSun1+5)=4),AprSun1+5,""))</f>
        <v/>
      </c>
      <c r="G5" s="17" t="str">
        <f>IF(DAY(AprSun1)=1,"",IF(AND(YEAR(AprSun1+6)=CalendarYear,MONTH(AprSun1+6)=4),AprSun1+6,""))</f>
        <v/>
      </c>
      <c r="H5" s="17">
        <f>IF(DAY(AprSun1)=1,IF(AND(YEAR(AprSun1)=CalendarYear,MONTH(AprSun1)=4),AprSun1,""),IF(AND(YEAR(AprSun1+7)=CalendarYear,MONTH(AprSun1+7)=4),AprSun1+7,""))</f>
        <v>41000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IF(DAY(AprSun1)=1,IF(AND(YEAR(AprSun1+1)=CalendarYear,MONTH(AprSun1+1)=4),AprSun1+1,""),IF(AND(YEAR(AprSun1+8)=CalendarYear,MONTH(AprSun1+8)=4),AprSun1+8,""))</f>
        <v>41001</v>
      </c>
      <c r="C7" s="18">
        <f>IF(DAY(AprSun1)=1,IF(AND(YEAR(AprSun1+2)=CalendarYear,MONTH(AprSun1+2)=4),AprSun1+2,""),IF(AND(YEAR(AprSun1+9)=CalendarYear,MONTH(AprSun1+9)=4),AprSun1+9,""))</f>
        <v>41002</v>
      </c>
      <c r="D7" s="18">
        <f>IF(DAY(AprSun1)=1,IF(AND(YEAR(AprSun1+3)=CalendarYear,MONTH(AprSun1+3)=4),AprSun1+3,""),IF(AND(YEAR(AprSun1+10)=CalendarYear,MONTH(AprSun1+10)=4),AprSun1+10,""))</f>
        <v>41003</v>
      </c>
      <c r="E7" s="18">
        <f>IF(DAY(AprSun1)=1,IF(AND(YEAR(AprSun1+4)=CalendarYear,MONTH(AprSun1+4)=4),AprSun1+4,""),IF(AND(YEAR(AprSun1+11)=CalendarYear,MONTH(AprSun1+11)=4),AprSun1+11,""))</f>
        <v>41004</v>
      </c>
      <c r="F7" s="18">
        <f>IF(DAY(AprSun1)=1,IF(AND(YEAR(AprSun1+5)=CalendarYear,MONTH(AprSun1+5)=4),AprSun1+5,""),IF(AND(YEAR(AprSun1+12)=CalendarYear,MONTH(AprSun1+12)=4),AprSun1+12,""))</f>
        <v>41005</v>
      </c>
      <c r="G7" s="18">
        <f>IF(DAY(AprSun1)=1,IF(AND(YEAR(AprSun1+6)=CalendarYear,MONTH(AprSun1+6)=4),AprSun1+6,""),IF(AND(YEAR(AprSun1+13)=CalendarYear,MONTH(AprSun1+13)=4),AprSun1+13,""))</f>
        <v>41006</v>
      </c>
      <c r="H7" s="18">
        <f>IF(DAY(AprSun1)=1,IF(AND(YEAR(AprSun1+7)=CalendarYear,MONTH(AprSun1+7)=4),AprSun1+7,""),IF(AND(YEAR(AprSun1+14)=CalendarYear,MONTH(AprSun1+14)=4),AprSun1+14,""))</f>
        <v>41007</v>
      </c>
      <c r="I7" s="3"/>
    </row>
    <row r="8" spans="1:18" ht="55.5" customHeight="1">
      <c r="A8"/>
      <c r="B8" s="33" t="s">
        <v>12</v>
      </c>
      <c r="C8" s="33" t="s">
        <v>12</v>
      </c>
      <c r="D8" s="33" t="s">
        <v>12</v>
      </c>
      <c r="E8" s="33" t="s">
        <v>12</v>
      </c>
      <c r="F8" s="33" t="s">
        <v>12</v>
      </c>
      <c r="G8" s="33" t="s">
        <v>12</v>
      </c>
      <c r="H8" s="33" t="s">
        <v>12</v>
      </c>
      <c r="I8" s="3"/>
    </row>
    <row r="9" spans="1:18" ht="15" customHeight="1">
      <c r="A9"/>
      <c r="B9" s="19">
        <f>IF(DAY(AprSun1)=1,IF(AND(YEAR(AprSun1+8)=CalendarYear,MONTH(AprSun1+8)=4),AprSun1+8,""),IF(AND(YEAR(AprSun1+15)=CalendarYear,MONTH(AprSun1+15)=4),AprSun1+15,""))</f>
        <v>41008</v>
      </c>
      <c r="C9" s="19">
        <f>IF(DAY(AprSun1)=1,IF(AND(YEAR(AprSun1+9)=CalendarYear,MONTH(AprSun1+9)=4),AprSun1+9,""),IF(AND(YEAR(AprSun1+16)=CalendarYear,MONTH(AprSun1+16)=4),AprSun1+16,""))</f>
        <v>41009</v>
      </c>
      <c r="D9" s="19">
        <f>IF(DAY(AprSun1)=1,IF(AND(YEAR(AprSun1+10)=CalendarYear,MONTH(AprSun1+10)=4),AprSun1+10,""),IF(AND(YEAR(AprSun1+17)=CalendarYear,MONTH(AprSun1+17)=4),AprSun1+17,""))</f>
        <v>41010</v>
      </c>
      <c r="E9" s="19">
        <f>IF(DAY(AprSun1)=1,IF(AND(YEAR(AprSun1+11)=CalendarYear,MONTH(AprSun1+11)=4),AprSun1+11,""),IF(AND(YEAR(AprSun1+18)=CalendarYear,MONTH(AprSun1+18)=4),AprSun1+18,""))</f>
        <v>41011</v>
      </c>
      <c r="F9" s="19">
        <f>IF(DAY(AprSun1)=1,IF(AND(YEAR(AprSun1+12)=CalendarYear,MONTH(AprSun1+12)=4),AprSun1+12,""),IF(AND(YEAR(AprSun1+19)=CalendarYear,MONTH(AprSun1+19)=4),AprSun1+19,""))</f>
        <v>41012</v>
      </c>
      <c r="G9" s="19">
        <f>IF(DAY(AprSun1)=1,IF(AND(YEAR(AprSun1+13)=CalendarYear,MONTH(AprSun1+13)=4),AprSun1+13,""),IF(AND(YEAR(AprSun1+20)=CalendarYear,MONTH(AprSun1+20)=4),AprSun1+20,""))</f>
        <v>41013</v>
      </c>
      <c r="H9" s="19">
        <f>IF(DAY(AprSun1)=1,IF(AND(YEAR(AprSun1+14)=CalendarYear,MONTH(AprSun1+14)=4),AprSun1+14,""),IF(AND(YEAR(AprSun1+21)=CalendarYear,MONTH(AprSun1+21)=4),AprSun1+21,""))</f>
        <v>41014</v>
      </c>
      <c r="I9" s="3"/>
    </row>
    <row r="10" spans="1:18" ht="55.5" customHeight="1">
      <c r="A10"/>
      <c r="B10" s="34" t="s">
        <v>13</v>
      </c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IF(DAY(AprSun1)=1,IF(AND(YEAR(AprSun1+15)=CalendarYear,MONTH(AprSun1+15)=4),AprSun1+15,""),IF(AND(YEAR(AprSun1+22)=CalendarYear,MONTH(AprSun1+22)=4),AprSun1+22,""))</f>
        <v>41015</v>
      </c>
      <c r="C11" s="20">
        <f>IF(DAY(AprSun1)=1,IF(AND(YEAR(AprSun1+16)=CalendarYear,MONTH(AprSun1+16)=4),AprSun1+16,""),IF(AND(YEAR(AprSun1+23)=CalendarYear,MONTH(AprSun1+23)=4),AprSun1+23,""))</f>
        <v>41016</v>
      </c>
      <c r="D11" s="20">
        <f>IF(DAY(AprSun1)=1,IF(AND(YEAR(AprSun1+17)=CalendarYear,MONTH(AprSun1+17)=4),AprSun1+17,""),IF(AND(YEAR(AprSun1+24)=CalendarYear,MONTH(AprSun1+24)=4),AprSun1+24,""))</f>
        <v>41017</v>
      </c>
      <c r="E11" s="20">
        <f>IF(DAY(AprSun1)=1,IF(AND(YEAR(AprSun1+18)=CalendarYear,MONTH(AprSun1+18)=4),AprSun1+18,""),IF(AND(YEAR(AprSun1+25)=CalendarYear,MONTH(AprSun1+25)=4),AprSun1+25,""))</f>
        <v>41018</v>
      </c>
      <c r="F11" s="20">
        <f>IF(DAY(AprSun1)=1,IF(AND(YEAR(AprSun1+19)=CalendarYear,MONTH(AprSun1+19)=4),AprSun1+19,""),IF(AND(YEAR(AprSun1+26)=CalendarYear,MONTH(AprSun1+26)=4),AprSun1+26,""))</f>
        <v>41019</v>
      </c>
      <c r="G11" s="20">
        <f>IF(DAY(AprSun1)=1,IF(AND(YEAR(AprSun1+20)=CalendarYear,MONTH(AprSun1+20)=4),AprSun1+20,""),IF(AND(YEAR(AprSun1+27)=CalendarYear,MONTH(AprSun1+27)=4),AprSun1+27,""))</f>
        <v>41020</v>
      </c>
      <c r="H11" s="20">
        <f>IF(DAY(AprSun1)=1,IF(AND(YEAR(AprSun1+21)=CalendarYear,MONTH(AprSun1+21)=4),AprSun1+21,""),IF(AND(YEAR(AprSun1+28)=CalendarYear,MONTH(AprSun1+28)=4),AprSun1+28,""))</f>
        <v>41021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IF(DAY(AprSun1)=1,IF(AND(YEAR(AprSun1+22)=CalendarYear,MONTH(AprSun1+22)=4),AprSun1+22,""),IF(AND(YEAR(AprSun1+29)=CalendarYear,MONTH(AprSun1+29)=4),AprSun1+29,""))</f>
        <v>41022</v>
      </c>
      <c r="C13" s="19">
        <f>IF(DAY(AprSun1)=1,IF(AND(YEAR(AprSun1+23)=CalendarYear,MONTH(AprSun1+23)=4),AprSun1+23,""),IF(AND(YEAR(AprSun1+30)=CalendarYear,MONTH(AprSun1+30)=4),AprSun1+30,""))</f>
        <v>41023</v>
      </c>
      <c r="D13" s="19">
        <f>IF(DAY(AprSun1)=1,IF(AND(YEAR(AprSun1+24)=CalendarYear,MONTH(AprSun1+24)=4),AprSun1+24,""),IF(AND(YEAR(AprSun1+31)=CalendarYear,MONTH(AprSun1+31)=4),AprSun1+31,""))</f>
        <v>41024</v>
      </c>
      <c r="E13" s="19">
        <f>IF(DAY(AprSun1)=1,IF(AND(YEAR(AprSun1+25)=CalendarYear,MONTH(AprSun1+25)=4),AprSun1+25,""),IF(AND(YEAR(AprSun1+32)=CalendarYear,MONTH(AprSun1+32)=4),AprSun1+32,""))</f>
        <v>41025</v>
      </c>
      <c r="F13" s="19">
        <f>IF(DAY(AprSun1)=1,IF(AND(YEAR(AprSun1+26)=CalendarYear,MONTH(AprSun1+26)=4),AprSun1+26,""),IF(AND(YEAR(AprSun1+33)=CalendarYear,MONTH(AprSun1+33)=4),AprSun1+33,""))</f>
        <v>41026</v>
      </c>
      <c r="G13" s="19">
        <f>IF(DAY(AprSun1)=1,IF(AND(YEAR(AprSun1+27)=CalendarYear,MONTH(AprSun1+27)=4),AprSun1+27,""),IF(AND(YEAR(AprSun1+34)=CalendarYear,MONTH(AprSun1+34)=4),AprSun1+34,""))</f>
        <v>41027</v>
      </c>
      <c r="H13" s="19">
        <f>IF(DAY(AprSun1)=1,IF(AND(YEAR(AprSun1+28)=CalendarYear,MONTH(AprSun1+28)=4),AprSun1+28,""),IF(AND(YEAR(AprSun1+35)=CalendarYear,MONTH(AprSun1+35)=4),AprSun1+35,""))</f>
        <v>41028</v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>
        <f>IF(DAY(AprSun1)=1,IF(AND(YEAR(AprSun1+29)=CalendarYear,MONTH(AprSun1+29)=4),AprSun1+29,""),IF(AND(YEAR(AprSun1+36)=CalendarYear,MONTH(AprSun1+36)=4),AprSun1+36,""))</f>
        <v>41029</v>
      </c>
      <c r="C15" s="21" t="str">
        <f>IF(DAY(AprSun1)=1,IF(AND(YEAR(AprSun1+30)=CalendarYear,MONTH(AprSun1+30)=4),AprSun1+30,""),IF(AND(YEAR(AprSun1+37)=CalendarYear,MONTH(AprSun1+37)=4),AprSun1+37,""))</f>
        <v/>
      </c>
      <c r="D15" s="25" t="s">
        <v>7</v>
      </c>
      <c r="E15" s="26"/>
      <c r="F15" s="26"/>
      <c r="G15" s="26"/>
      <c r="H15" s="27"/>
      <c r="I15" s="3"/>
    </row>
    <row r="16" spans="1:18" ht="55.5" customHeight="1">
      <c r="A16"/>
      <c r="B16" s="12"/>
      <c r="C16" s="12"/>
      <c r="D16" s="22"/>
      <c r="E16" s="23"/>
      <c r="F16" s="23"/>
      <c r="G16" s="23"/>
      <c r="H16" s="24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0" orientation="landscape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G8" sqref="G8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</row>
    <row r="2" spans="1:18" ht="26.25" customHeight="1">
      <c r="A2"/>
    </row>
    <row r="3" spans="1:18" ht="57.75" customHeight="1">
      <c r="A3"/>
      <c r="B3" s="28" t="str">
        <f>UPPER(TEXT(DATE(CalendarYear,5,1),"mmmm yyyy"))</f>
        <v>MAY 2012</v>
      </c>
      <c r="C3" s="28"/>
      <c r="D3" s="28"/>
      <c r="E3" s="28"/>
      <c r="F3" s="28"/>
    </row>
    <row r="4" spans="1:18" customFormat="1" ht="29.25" customHeight="1">
      <c r="B4" s="14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6" t="s">
        <v>6</v>
      </c>
      <c r="I4" s="1"/>
      <c r="J4" s="1"/>
      <c r="L4" s="1"/>
      <c r="M4" s="7"/>
      <c r="Q4" s="1"/>
      <c r="R4" s="1"/>
    </row>
    <row r="5" spans="1:18" customFormat="1" ht="15" customHeight="1">
      <c r="B5" s="17" t="str">
        <f>IF(DAY(MaySun1)=1,"",IF(AND(YEAR(MaySun1+1)=CalendarYear,MONTH(MaySun1+1)=5),MaySun1+1,""))</f>
        <v/>
      </c>
      <c r="C5" s="17">
        <f>IF(DAY(MaySun1)=1,"",IF(AND(YEAR(MaySun1+2)=CalendarYear,MONTH(MaySun1+2)=5),MaySun1+2,""))</f>
        <v>41030</v>
      </c>
      <c r="D5" s="17">
        <f>IF(DAY(MaySun1)=1,"",IF(AND(YEAR(MaySun1+3)=CalendarYear,MONTH(MaySun1+3)=5),MaySun1+3,""))</f>
        <v>41031</v>
      </c>
      <c r="E5" s="17">
        <f>IF(DAY(MaySun1)=1,"",IF(AND(YEAR(MaySun1+4)=CalendarYear,MONTH(MaySun1+4)=5),MaySun1+4,""))</f>
        <v>41032</v>
      </c>
      <c r="F5" s="17">
        <f>IF(DAY(MaySun1)=1,"",IF(AND(YEAR(MaySun1+5)=CalendarYear,MONTH(MaySun1+5)=5),MaySun1+5,""))</f>
        <v>41033</v>
      </c>
      <c r="G5" s="17">
        <f>IF(DAY(MaySun1)=1,"",IF(AND(YEAR(MaySun1+6)=CalendarYear,MONTH(MaySun1+6)=5),MaySun1+6,""))</f>
        <v>41034</v>
      </c>
      <c r="H5" s="17">
        <f>IF(DAY(MaySun1)=1,IF(AND(YEAR(MaySun1)=CalendarYear,MONTH(MaySun1)=5),MaySun1,""),IF(AND(YEAR(MaySun1+7)=CalendarYear,MONTH(MaySun1+7)=5),MaySun1+7,""))</f>
        <v>41035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IF(DAY(MaySun1)=1,IF(AND(YEAR(MaySun1+1)=CalendarYear,MONTH(MaySun1+1)=5),MaySun1+1,""),IF(AND(YEAR(MaySun1+8)=CalendarYear,MONTH(MaySun1+8)=5),MaySun1+8,""))</f>
        <v>41036</v>
      </c>
      <c r="C7" s="18">
        <f>IF(DAY(MaySun1)=1,IF(AND(YEAR(MaySun1+2)=CalendarYear,MONTH(MaySun1+2)=5),MaySun1+2,""),IF(AND(YEAR(MaySun1+9)=CalendarYear,MONTH(MaySun1+9)=5),MaySun1+9,""))</f>
        <v>41037</v>
      </c>
      <c r="D7" s="18">
        <f>IF(DAY(MaySun1)=1,IF(AND(YEAR(MaySun1+3)=CalendarYear,MONTH(MaySun1+3)=5),MaySun1+3,""),IF(AND(YEAR(MaySun1+10)=CalendarYear,MONTH(MaySun1+10)=5),MaySun1+10,""))</f>
        <v>41038</v>
      </c>
      <c r="E7" s="18">
        <f>IF(DAY(MaySun1)=1,IF(AND(YEAR(MaySun1+4)=CalendarYear,MONTH(MaySun1+4)=5),MaySun1+4,""),IF(AND(YEAR(MaySun1+11)=CalendarYear,MONTH(MaySun1+11)=5),MaySun1+11,""))</f>
        <v>41039</v>
      </c>
      <c r="F7" s="18">
        <f>IF(DAY(MaySun1)=1,IF(AND(YEAR(MaySun1+5)=CalendarYear,MONTH(MaySun1+5)=5),MaySun1+5,""),IF(AND(YEAR(MaySun1+12)=CalendarYear,MONTH(MaySun1+12)=5),MaySun1+12,""))</f>
        <v>41040</v>
      </c>
      <c r="G7" s="18">
        <f>IF(DAY(MaySun1)=1,IF(AND(YEAR(MaySun1+6)=CalendarYear,MONTH(MaySun1+6)=5),MaySun1+6,""),IF(AND(YEAR(MaySun1+13)=CalendarYear,MONTH(MaySun1+13)=5),MaySun1+13,""))</f>
        <v>41041</v>
      </c>
      <c r="H7" s="18">
        <f>IF(DAY(MaySun1)=1,IF(AND(YEAR(MaySun1+7)=CalendarYear,MONTH(MaySun1+7)=5),MaySun1+7,""),IF(AND(YEAR(MaySun1+14)=CalendarYear,MONTH(MaySun1+14)=5),MaySun1+14,""))</f>
        <v>41042</v>
      </c>
      <c r="I7" s="3"/>
    </row>
    <row r="8" spans="1:18" ht="55.5" customHeight="1">
      <c r="A8"/>
      <c r="B8" s="12"/>
      <c r="C8" s="12"/>
      <c r="D8" s="12"/>
      <c r="E8" s="12"/>
      <c r="F8" s="34" t="s">
        <v>14</v>
      </c>
      <c r="G8" s="13"/>
      <c r="H8" s="13"/>
      <c r="I8" s="3"/>
    </row>
    <row r="9" spans="1:18" ht="15" customHeight="1">
      <c r="A9"/>
      <c r="B9" s="19">
        <f>IF(DAY(MaySun1)=1,IF(AND(YEAR(MaySun1+8)=CalendarYear,MONTH(MaySun1+8)=5),MaySun1+8,""),IF(AND(YEAR(MaySun1+15)=CalendarYear,MONTH(MaySun1+15)=5),MaySun1+15,""))</f>
        <v>41043</v>
      </c>
      <c r="C9" s="19">
        <f>IF(DAY(MaySun1)=1,IF(AND(YEAR(MaySun1+9)=CalendarYear,MONTH(MaySun1+9)=5),MaySun1+9,""),IF(AND(YEAR(MaySun1+16)=CalendarYear,MONTH(MaySun1+16)=5),MaySun1+16,""))</f>
        <v>41044</v>
      </c>
      <c r="D9" s="19">
        <f>IF(DAY(MaySun1)=1,IF(AND(YEAR(MaySun1+10)=CalendarYear,MONTH(MaySun1+10)=5),MaySun1+10,""),IF(AND(YEAR(MaySun1+17)=CalendarYear,MONTH(MaySun1+17)=5),MaySun1+17,""))</f>
        <v>41045</v>
      </c>
      <c r="E9" s="19">
        <f>IF(DAY(MaySun1)=1,IF(AND(YEAR(MaySun1+11)=CalendarYear,MONTH(MaySun1+11)=5),MaySun1+11,""),IF(AND(YEAR(MaySun1+18)=CalendarYear,MONTH(MaySun1+18)=5),MaySun1+18,""))</f>
        <v>41046</v>
      </c>
      <c r="F9" s="19">
        <f>IF(DAY(MaySun1)=1,IF(AND(YEAR(MaySun1+12)=CalendarYear,MONTH(MaySun1+12)=5),MaySun1+12,""),IF(AND(YEAR(MaySun1+19)=CalendarYear,MONTH(MaySun1+19)=5),MaySun1+19,""))</f>
        <v>41047</v>
      </c>
      <c r="G9" s="19">
        <f>IF(DAY(MaySun1)=1,IF(AND(YEAR(MaySun1+13)=CalendarYear,MONTH(MaySun1+13)=5),MaySun1+13,""),IF(AND(YEAR(MaySun1+20)=CalendarYear,MONTH(MaySun1+20)=5),MaySun1+20,""))</f>
        <v>41048</v>
      </c>
      <c r="H9" s="19">
        <f>IF(DAY(MaySun1)=1,IF(AND(YEAR(MaySun1+14)=CalendarYear,MONTH(MaySun1+14)=5),MaySun1+14,""),IF(AND(YEAR(MaySun1+21)=CalendarYear,MONTH(MaySun1+21)=5),MaySun1+21,""))</f>
        <v>41049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IF(DAY(MaySun1)=1,IF(AND(YEAR(MaySun1+15)=CalendarYear,MONTH(MaySun1+15)=5),MaySun1+15,""),IF(AND(YEAR(MaySun1+22)=CalendarYear,MONTH(MaySun1+22)=5),MaySun1+22,""))</f>
        <v>41050</v>
      </c>
      <c r="C11" s="20">
        <f>IF(DAY(MaySun1)=1,IF(AND(YEAR(MaySun1+16)=CalendarYear,MONTH(MaySun1+16)=5),MaySun1+16,""),IF(AND(YEAR(MaySun1+23)=CalendarYear,MONTH(MaySun1+23)=5),MaySun1+23,""))</f>
        <v>41051</v>
      </c>
      <c r="D11" s="20">
        <f>IF(DAY(MaySun1)=1,IF(AND(YEAR(MaySun1+17)=CalendarYear,MONTH(MaySun1+17)=5),MaySun1+17,""),IF(AND(YEAR(MaySun1+24)=CalendarYear,MONTH(MaySun1+24)=5),MaySun1+24,""))</f>
        <v>41052</v>
      </c>
      <c r="E11" s="20">
        <f>IF(DAY(MaySun1)=1,IF(AND(YEAR(MaySun1+18)=CalendarYear,MONTH(MaySun1+18)=5),MaySun1+18,""),IF(AND(YEAR(MaySun1+25)=CalendarYear,MONTH(MaySun1+25)=5),MaySun1+25,""))</f>
        <v>41053</v>
      </c>
      <c r="F11" s="20">
        <f>IF(DAY(MaySun1)=1,IF(AND(YEAR(MaySun1+19)=CalendarYear,MONTH(MaySun1+19)=5),MaySun1+19,""),IF(AND(YEAR(MaySun1+26)=CalendarYear,MONTH(MaySun1+26)=5),MaySun1+26,""))</f>
        <v>41054</v>
      </c>
      <c r="G11" s="20">
        <f>IF(DAY(MaySun1)=1,IF(AND(YEAR(MaySun1+20)=CalendarYear,MONTH(MaySun1+20)=5),MaySun1+20,""),IF(AND(YEAR(MaySun1+27)=CalendarYear,MONTH(MaySun1+27)=5),MaySun1+27,""))</f>
        <v>41055</v>
      </c>
      <c r="H11" s="20">
        <f>IF(DAY(MaySun1)=1,IF(AND(YEAR(MaySun1+21)=CalendarYear,MONTH(MaySun1+21)=5),MaySun1+21,""),IF(AND(YEAR(MaySun1+28)=CalendarYear,MONTH(MaySun1+28)=5),MaySun1+28,""))</f>
        <v>41056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IF(DAY(MaySun1)=1,IF(AND(YEAR(MaySun1+22)=CalendarYear,MONTH(MaySun1+22)=5),MaySun1+22,""),IF(AND(YEAR(MaySun1+29)=CalendarYear,MONTH(MaySun1+29)=5),MaySun1+29,""))</f>
        <v>41057</v>
      </c>
      <c r="C13" s="19">
        <f>IF(DAY(MaySun1)=1,IF(AND(YEAR(MaySun1+23)=CalendarYear,MONTH(MaySun1+23)=5),MaySun1+23,""),IF(AND(YEAR(MaySun1+30)=CalendarYear,MONTH(MaySun1+30)=5),MaySun1+30,""))</f>
        <v>41058</v>
      </c>
      <c r="D13" s="19">
        <f>IF(DAY(MaySun1)=1,IF(AND(YEAR(MaySun1+24)=CalendarYear,MONTH(MaySun1+24)=5),MaySun1+24,""),IF(AND(YEAR(MaySun1+31)=CalendarYear,MONTH(MaySun1+31)=5),MaySun1+31,""))</f>
        <v>41059</v>
      </c>
      <c r="E13" s="19">
        <f>IF(DAY(MaySun1)=1,IF(AND(YEAR(MaySun1+25)=CalendarYear,MONTH(MaySun1+25)=5),MaySun1+25,""),IF(AND(YEAR(MaySun1+32)=CalendarYear,MONTH(MaySun1+32)=5),MaySun1+32,""))</f>
        <v>41060</v>
      </c>
      <c r="F13" s="19" t="str">
        <f>IF(DAY(MaySun1)=1,IF(AND(YEAR(MaySun1+26)=CalendarYear,MONTH(MaySun1+26)=5),MaySun1+26,""),IF(AND(YEAR(MaySun1+33)=CalendarYear,MONTH(MaySun1+33)=5),MaySun1+33,""))</f>
        <v/>
      </c>
      <c r="G13" s="19" t="str">
        <f>IF(DAY(MaySun1)=1,IF(AND(YEAR(MaySun1+27)=CalendarYear,MONTH(MaySun1+27)=5),MaySun1+27,""),IF(AND(YEAR(MaySun1+34)=CalendarYear,MONTH(MaySun1+34)=5),MaySun1+34,""))</f>
        <v/>
      </c>
      <c r="H13" s="19" t="str">
        <f>IF(DAY(MaySun1)=1,IF(AND(YEAR(MaySun1+28)=CalendarYear,MONTH(MaySun1+28)=5),MaySun1+28,""),IF(AND(YEAR(MaySun1+35)=CalendarYear,MONTH(MaySun1+35)=5),MaySun1+35,""))</f>
        <v/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 t="str">
        <f>IF(DAY(MaySun1)=1,IF(AND(YEAR(MaySun1+29)=CalendarYear,MONTH(MaySun1+29)=5),MaySun1+29,""),IF(AND(YEAR(MaySun1+36)=CalendarYear,MONTH(MaySun1+36)=5),MaySun1+36,""))</f>
        <v/>
      </c>
      <c r="C15" s="21" t="str">
        <f>IF(DAY(MaySun1)=1,IF(AND(YEAR(MaySun1+30)=CalendarYear,MONTH(MaySun1+30)=5),MaySun1+30,""),IF(AND(YEAR(MaySun1+37)=CalendarYear,MONTH(MaySun1+37)=5),MaySun1+37,""))</f>
        <v/>
      </c>
      <c r="D15" s="25" t="s">
        <v>7</v>
      </c>
      <c r="E15" s="26"/>
      <c r="F15" s="26"/>
      <c r="G15" s="26"/>
      <c r="H15" s="27"/>
      <c r="I15" s="3"/>
    </row>
    <row r="16" spans="1:18" ht="55.5" customHeight="1">
      <c r="A16"/>
      <c r="B16" s="12"/>
      <c r="C16" s="12"/>
      <c r="D16" s="22"/>
      <c r="E16" s="23"/>
      <c r="F16" s="23"/>
      <c r="G16" s="23"/>
      <c r="H16" s="24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0" orientation="landscape" r:id="rId1"/>
  <headerFooter scaleWithDoc="0"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I9" sqref="I9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</row>
    <row r="2" spans="1:18" ht="26.25" customHeight="1">
      <c r="A2"/>
    </row>
    <row r="3" spans="1:18" ht="57.75" customHeight="1">
      <c r="A3"/>
      <c r="B3" s="28" t="str">
        <f>UPPER(TEXT(DATE(CalendarYear,6,1),"mmmm yyyy"))</f>
        <v>JUNE 2012</v>
      </c>
      <c r="C3" s="28"/>
      <c r="D3" s="28"/>
      <c r="E3" s="28"/>
      <c r="F3" s="28"/>
    </row>
    <row r="4" spans="1:18" customFormat="1" ht="29.25" customHeight="1">
      <c r="B4" s="14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6" t="s">
        <v>6</v>
      </c>
      <c r="I4" s="1"/>
      <c r="J4" s="1"/>
      <c r="L4" s="1"/>
      <c r="M4" s="7"/>
      <c r="Q4" s="1"/>
      <c r="R4" s="1"/>
    </row>
    <row r="5" spans="1:18" customFormat="1" ht="15" customHeight="1">
      <c r="B5" s="17" t="str">
        <f>IF(DAY(JunSun1)=1,"",IF(AND(YEAR(JunSun1+1)=CalendarYear,MONTH(JunSun1+1)=6),JunSun1+1,""))</f>
        <v/>
      </c>
      <c r="C5" s="17" t="str">
        <f>IF(DAY(JunSun1)=1,"",IF(AND(YEAR(JunSun1+2)=CalendarYear,MONTH(JunSun1+2)=6),JunSun1+2,""))</f>
        <v/>
      </c>
      <c r="D5" s="17" t="str">
        <f>IF(DAY(JunSun1)=1,"",IF(AND(YEAR(JunSun1+3)=CalendarYear,MONTH(JunSun1+3)=6),JunSun1+3,""))</f>
        <v/>
      </c>
      <c r="E5" s="17" t="str">
        <f>IF(DAY(JunSun1)=1,"",IF(AND(YEAR(JunSun1+4)=CalendarYear,MONTH(JunSun1+4)=6),JunSun1+4,""))</f>
        <v/>
      </c>
      <c r="F5" s="17">
        <f>IF(DAY(JunSun1)=1,"",IF(AND(YEAR(JunSun1+5)=CalendarYear,MONTH(JunSun1+5)=6),JunSun1+5,""))</f>
        <v>41061</v>
      </c>
      <c r="G5" s="17">
        <f>IF(DAY(JunSun1)=1,"",IF(AND(YEAR(JunSun1+6)=CalendarYear,MONTH(JunSun1+6)=6),JunSun1+6,""))</f>
        <v>41062</v>
      </c>
      <c r="H5" s="17">
        <f>IF(DAY(JunSun1)=1,IF(AND(YEAR(JunSun1)=CalendarYear,MONTH(JunSun1)=6),JunSun1,""),IF(AND(YEAR(JunSun1+7)=CalendarYear,MONTH(JunSun1+7)=6),JunSun1+7,""))</f>
        <v>41063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IF(DAY(JunSun1)=1,IF(AND(YEAR(JunSun1+1)=CalendarYear,MONTH(JunSun1+1)=6),JunSun1+1,""),IF(AND(YEAR(JunSun1+8)=CalendarYear,MONTH(JunSun1+8)=6),JunSun1+8,""))</f>
        <v>41064</v>
      </c>
      <c r="C7" s="18">
        <f>IF(DAY(JunSun1)=1,IF(AND(YEAR(JunSun1+2)=CalendarYear,MONTH(JunSun1+2)=6),JunSun1+2,""),IF(AND(YEAR(JunSun1+9)=CalendarYear,MONTH(JunSun1+9)=6),JunSun1+9,""))</f>
        <v>41065</v>
      </c>
      <c r="D7" s="18">
        <f>IF(DAY(JunSun1)=1,IF(AND(YEAR(JunSun1+3)=CalendarYear,MONTH(JunSun1+3)=6),JunSun1+3,""),IF(AND(YEAR(JunSun1+10)=CalendarYear,MONTH(JunSun1+10)=6),JunSun1+10,""))</f>
        <v>41066</v>
      </c>
      <c r="E7" s="18">
        <f>IF(DAY(JunSun1)=1,IF(AND(YEAR(JunSun1+4)=CalendarYear,MONTH(JunSun1+4)=6),JunSun1+4,""),IF(AND(YEAR(JunSun1+11)=CalendarYear,MONTH(JunSun1+11)=6),JunSun1+11,""))</f>
        <v>41067</v>
      </c>
      <c r="F7" s="18">
        <f>IF(DAY(JunSun1)=1,IF(AND(YEAR(JunSun1+5)=CalendarYear,MONTH(JunSun1+5)=6),JunSun1+5,""),IF(AND(YEAR(JunSun1+12)=CalendarYear,MONTH(JunSun1+12)=6),JunSun1+12,""))</f>
        <v>41068</v>
      </c>
      <c r="G7" s="18">
        <f>IF(DAY(JunSun1)=1,IF(AND(YEAR(JunSun1+6)=CalendarYear,MONTH(JunSun1+6)=6),JunSun1+6,""),IF(AND(YEAR(JunSun1+13)=CalendarYear,MONTH(JunSun1+13)=6),JunSun1+13,""))</f>
        <v>41069</v>
      </c>
      <c r="H7" s="18">
        <f>IF(DAY(JunSun1)=1,IF(AND(YEAR(JunSun1+7)=CalendarYear,MONTH(JunSun1+7)=6),JunSun1+7,""),IF(AND(YEAR(JunSun1+14)=CalendarYear,MONTH(JunSun1+14)=6),JunSun1+14,""))</f>
        <v>41070</v>
      </c>
      <c r="I7" s="3"/>
    </row>
    <row r="8" spans="1:18" ht="55.5" customHeight="1">
      <c r="A8"/>
      <c r="B8" s="12"/>
      <c r="C8" s="12"/>
      <c r="D8" s="12"/>
      <c r="E8" s="12"/>
      <c r="F8" s="12"/>
      <c r="G8" s="13"/>
      <c r="H8" s="13"/>
      <c r="I8" s="3"/>
    </row>
    <row r="9" spans="1:18" ht="15" customHeight="1">
      <c r="A9"/>
      <c r="B9" s="19">
        <f>IF(DAY(JunSun1)=1,IF(AND(YEAR(JunSun1+8)=CalendarYear,MONTH(JunSun1+8)=6),JunSun1+8,""),IF(AND(YEAR(JunSun1+15)=CalendarYear,MONTH(JunSun1+15)=6),JunSun1+15,""))</f>
        <v>41071</v>
      </c>
      <c r="C9" s="19">
        <f>IF(DAY(JunSun1)=1,IF(AND(YEAR(JunSun1+9)=CalendarYear,MONTH(JunSun1+9)=6),JunSun1+9,""),IF(AND(YEAR(JunSun1+16)=CalendarYear,MONTH(JunSun1+16)=6),JunSun1+16,""))</f>
        <v>41072</v>
      </c>
      <c r="D9" s="19">
        <f>IF(DAY(JunSun1)=1,IF(AND(YEAR(JunSun1+10)=CalendarYear,MONTH(JunSun1+10)=6),JunSun1+10,""),IF(AND(YEAR(JunSun1+17)=CalendarYear,MONTH(JunSun1+17)=6),JunSun1+17,""))</f>
        <v>41073</v>
      </c>
      <c r="E9" s="19">
        <f>IF(DAY(JunSun1)=1,IF(AND(YEAR(JunSun1+11)=CalendarYear,MONTH(JunSun1+11)=6),JunSun1+11,""),IF(AND(YEAR(JunSun1+18)=CalendarYear,MONTH(JunSun1+18)=6),JunSun1+18,""))</f>
        <v>41074</v>
      </c>
      <c r="F9" s="19">
        <f>IF(DAY(JunSun1)=1,IF(AND(YEAR(JunSun1+12)=CalendarYear,MONTH(JunSun1+12)=6),JunSun1+12,""),IF(AND(YEAR(JunSun1+19)=CalendarYear,MONTH(JunSun1+19)=6),JunSun1+19,""))</f>
        <v>41075</v>
      </c>
      <c r="G9" s="19">
        <f>IF(DAY(JunSun1)=1,IF(AND(YEAR(JunSun1+13)=CalendarYear,MONTH(JunSun1+13)=6),JunSun1+13,""),IF(AND(YEAR(JunSun1+20)=CalendarYear,MONTH(JunSun1+20)=6),JunSun1+20,""))</f>
        <v>41076</v>
      </c>
      <c r="H9" s="19">
        <f>IF(DAY(JunSun1)=1,IF(AND(YEAR(JunSun1+14)=CalendarYear,MONTH(JunSun1+14)=6),JunSun1+14,""),IF(AND(YEAR(JunSun1+21)=CalendarYear,MONTH(JunSun1+21)=6),JunSun1+21,""))</f>
        <v>41077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IF(DAY(JunSun1)=1,IF(AND(YEAR(JunSun1+15)=CalendarYear,MONTH(JunSun1+15)=6),JunSun1+15,""),IF(AND(YEAR(JunSun1+22)=CalendarYear,MONTH(JunSun1+22)=6),JunSun1+22,""))</f>
        <v>41078</v>
      </c>
      <c r="C11" s="20">
        <f>IF(DAY(JunSun1)=1,IF(AND(YEAR(JunSun1+16)=CalendarYear,MONTH(JunSun1+16)=6),JunSun1+16,""),IF(AND(YEAR(JunSun1+23)=CalendarYear,MONTH(JunSun1+23)=6),JunSun1+23,""))</f>
        <v>41079</v>
      </c>
      <c r="D11" s="20">
        <f>IF(DAY(JunSun1)=1,IF(AND(YEAR(JunSun1+17)=CalendarYear,MONTH(JunSun1+17)=6),JunSun1+17,""),IF(AND(YEAR(JunSun1+24)=CalendarYear,MONTH(JunSun1+24)=6),JunSun1+24,""))</f>
        <v>41080</v>
      </c>
      <c r="E11" s="20">
        <f>IF(DAY(JunSun1)=1,IF(AND(YEAR(JunSun1+18)=CalendarYear,MONTH(JunSun1+18)=6),JunSun1+18,""),IF(AND(YEAR(JunSun1+25)=CalendarYear,MONTH(JunSun1+25)=6),JunSun1+25,""))</f>
        <v>41081</v>
      </c>
      <c r="F11" s="20">
        <f>IF(DAY(JunSun1)=1,IF(AND(YEAR(JunSun1+19)=CalendarYear,MONTH(JunSun1+19)=6),JunSun1+19,""),IF(AND(YEAR(JunSun1+26)=CalendarYear,MONTH(JunSun1+26)=6),JunSun1+26,""))</f>
        <v>41082</v>
      </c>
      <c r="G11" s="20">
        <f>IF(DAY(JunSun1)=1,IF(AND(YEAR(JunSun1+20)=CalendarYear,MONTH(JunSun1+20)=6),JunSun1+20,""),IF(AND(YEAR(JunSun1+27)=CalendarYear,MONTH(JunSun1+27)=6),JunSun1+27,""))</f>
        <v>41083</v>
      </c>
      <c r="H11" s="20">
        <f>IF(DAY(JunSun1)=1,IF(AND(YEAR(JunSun1+21)=CalendarYear,MONTH(JunSun1+21)=6),JunSun1+21,""),IF(AND(YEAR(JunSun1+28)=CalendarYear,MONTH(JunSun1+28)=6),JunSun1+28,""))</f>
        <v>41084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IF(DAY(JunSun1)=1,IF(AND(YEAR(JunSun1+22)=CalendarYear,MONTH(JunSun1+22)=6),JunSun1+22,""),IF(AND(YEAR(JunSun1+29)=CalendarYear,MONTH(JunSun1+29)=6),JunSun1+29,""))</f>
        <v>41085</v>
      </c>
      <c r="C13" s="19">
        <f>IF(DAY(JunSun1)=1,IF(AND(YEAR(JunSun1+23)=CalendarYear,MONTH(JunSun1+23)=6),JunSun1+23,""),IF(AND(YEAR(JunSun1+30)=CalendarYear,MONTH(JunSun1+30)=6),JunSun1+30,""))</f>
        <v>41086</v>
      </c>
      <c r="D13" s="19">
        <f>IF(DAY(JunSun1)=1,IF(AND(YEAR(JunSun1+24)=CalendarYear,MONTH(JunSun1+24)=6),JunSun1+24,""),IF(AND(YEAR(JunSun1+31)=CalendarYear,MONTH(JunSun1+31)=6),JunSun1+31,""))</f>
        <v>41087</v>
      </c>
      <c r="E13" s="19">
        <f>IF(DAY(JunSun1)=1,IF(AND(YEAR(JunSun1+25)=CalendarYear,MONTH(JunSun1+25)=6),JunSun1+25,""),IF(AND(YEAR(JunSun1+32)=CalendarYear,MONTH(JunSun1+32)=6),JunSun1+32,""))</f>
        <v>41088</v>
      </c>
      <c r="F13" s="19">
        <f>IF(DAY(JunSun1)=1,IF(AND(YEAR(JunSun1+26)=CalendarYear,MONTH(JunSun1+26)=6),JunSun1+26,""),IF(AND(YEAR(JunSun1+33)=CalendarYear,MONTH(JunSun1+33)=6),JunSun1+33,""))</f>
        <v>41089</v>
      </c>
      <c r="G13" s="19">
        <f>IF(DAY(JunSun1)=1,IF(AND(YEAR(JunSun1+27)=CalendarYear,MONTH(JunSun1+27)=6),JunSun1+27,""),IF(AND(YEAR(JunSun1+34)=CalendarYear,MONTH(JunSun1+34)=6),JunSun1+34,""))</f>
        <v>41090</v>
      </c>
      <c r="H13" s="19" t="str">
        <f>IF(DAY(JunSun1)=1,IF(AND(YEAR(JunSun1+28)=CalendarYear,MONTH(JunSun1+28)=6),JunSun1+28,""),IF(AND(YEAR(JunSun1+35)=CalendarYear,MONTH(JunSun1+35)=6),JunSun1+35,""))</f>
        <v/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 t="str">
        <f>IF(DAY(JunSun1)=1,IF(AND(YEAR(JunSun1+29)=CalendarYear,MONTH(JunSun1+29)=6),JunSun1+29,""),IF(AND(YEAR(JunSun1+36)=CalendarYear,MONTH(JunSun1+36)=6),JunSun1+36,""))</f>
        <v/>
      </c>
      <c r="C15" s="21" t="str">
        <f>IF(DAY(JunSun1)=1,IF(AND(YEAR(JunSun1+30)=CalendarYear,MONTH(JunSun1+30)=6),JunSun1+30,""),IF(AND(YEAR(JunSun1+37)=CalendarYear,MONTH(JunSun1+37)=6),JunSun1+37,""))</f>
        <v/>
      </c>
      <c r="D15" s="25" t="s">
        <v>7</v>
      </c>
      <c r="E15" s="26"/>
      <c r="F15" s="26"/>
      <c r="G15" s="26"/>
      <c r="H15" s="27"/>
      <c r="I15" s="3"/>
    </row>
    <row r="16" spans="1:18" ht="55.5" customHeight="1">
      <c r="A16"/>
      <c r="B16" s="12"/>
      <c r="C16" s="12"/>
      <c r="D16" s="22"/>
      <c r="E16" s="23"/>
      <c r="F16" s="23"/>
      <c r="G16" s="23"/>
      <c r="H16" s="24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0" orientation="landscape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L11" sqref="L11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</row>
    <row r="2" spans="1:18" ht="26.25" customHeight="1">
      <c r="A2"/>
    </row>
    <row r="3" spans="1:18" ht="57.75" customHeight="1">
      <c r="A3"/>
      <c r="B3" s="28" t="str">
        <f>UPPER(TEXT(DATE(CalendarYear,7,1),"mmmm yyyy"))</f>
        <v>JULY 2012</v>
      </c>
      <c r="C3" s="28"/>
      <c r="D3" s="28"/>
      <c r="E3" s="28"/>
      <c r="F3" s="28"/>
    </row>
    <row r="4" spans="1:18" customFormat="1" ht="29.25" customHeight="1">
      <c r="B4" s="14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6" t="s">
        <v>6</v>
      </c>
      <c r="I4" s="1"/>
      <c r="J4" s="1"/>
      <c r="L4" s="1"/>
      <c r="M4" s="7"/>
      <c r="Q4" s="1"/>
      <c r="R4" s="1"/>
    </row>
    <row r="5" spans="1:18" customFormat="1" ht="15" customHeight="1">
      <c r="B5" s="17" t="str">
        <f>IF(DAY(JulSun1)=1,"",IF(AND(YEAR(JulSun1+1)=CalendarYear,MONTH(JulSun1+1)=7),JulSun1+1,""))</f>
        <v/>
      </c>
      <c r="C5" s="17" t="str">
        <f>IF(DAY(JulSun1)=1,"",IF(AND(YEAR(JulSun1+2)=CalendarYear,MONTH(JulSun1+2)=7),JulSun1+2,""))</f>
        <v/>
      </c>
      <c r="D5" s="17" t="str">
        <f>IF(DAY(JulSun1)=1,"",IF(AND(YEAR(JulSun1+3)=CalendarYear,MONTH(JulSun1+3)=7),JulSun1+3,""))</f>
        <v/>
      </c>
      <c r="E5" s="17" t="str">
        <f>IF(DAY(JulSun1)=1,"",IF(AND(YEAR(JulSun1+4)=CalendarYear,MONTH(JulSun1+4)=7),JulSun1+4,""))</f>
        <v/>
      </c>
      <c r="F5" s="17" t="str">
        <f>IF(DAY(JulSun1)=1,"",IF(AND(YEAR(JulSun1+5)=CalendarYear,MONTH(JulSun1+5)=7),JulSun1+5,""))</f>
        <v/>
      </c>
      <c r="G5" s="17" t="str">
        <f>IF(DAY(JulSun1)=1,"",IF(AND(YEAR(JulSun1+6)=CalendarYear,MONTH(JulSun1+6)=7),JulSun1+6,""))</f>
        <v/>
      </c>
      <c r="H5" s="17">
        <f>IF(DAY(JulSun1)=1,IF(AND(YEAR(JulSun1)=CalendarYear,MONTH(JulSun1)=7),JulSun1,""),IF(AND(YEAR(JulSun1+7)=CalendarYear,MONTH(JulSun1+7)=7),JulSun1+7,""))</f>
        <v>41091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IF(DAY(JulSun1)=1,IF(AND(YEAR(JulSun1+1)=CalendarYear,MONTH(JulSun1+1)=7),JulSun1+1,""),IF(AND(YEAR(JulSun1+8)=CalendarYear,MONTH(JulSun1+8)=7),JulSun1+8,""))</f>
        <v>41092</v>
      </c>
      <c r="C7" s="18">
        <f>IF(DAY(JulSun1)=1,IF(AND(YEAR(JulSun1+2)=CalendarYear,MONTH(JulSun1+2)=7),JulSun1+2,""),IF(AND(YEAR(JulSun1+9)=CalendarYear,MONTH(JulSun1+9)=7),JulSun1+9,""))</f>
        <v>41093</v>
      </c>
      <c r="D7" s="18">
        <f>IF(DAY(JulSun1)=1,IF(AND(YEAR(JulSun1+3)=CalendarYear,MONTH(JulSun1+3)=7),JulSun1+3,""),IF(AND(YEAR(JulSun1+10)=CalendarYear,MONTH(JulSun1+10)=7),JulSun1+10,""))</f>
        <v>41094</v>
      </c>
      <c r="E7" s="18">
        <f>IF(DAY(JulSun1)=1,IF(AND(YEAR(JulSun1+4)=CalendarYear,MONTH(JulSun1+4)=7),JulSun1+4,""),IF(AND(YEAR(JulSun1+11)=CalendarYear,MONTH(JulSun1+11)=7),JulSun1+11,""))</f>
        <v>41095</v>
      </c>
      <c r="F7" s="18">
        <f>IF(DAY(JulSun1)=1,IF(AND(YEAR(JulSun1+5)=CalendarYear,MONTH(JulSun1+5)=7),JulSun1+5,""),IF(AND(YEAR(JulSun1+12)=CalendarYear,MONTH(JulSun1+12)=7),JulSun1+12,""))</f>
        <v>41096</v>
      </c>
      <c r="G7" s="18">
        <f>IF(DAY(JulSun1)=1,IF(AND(YEAR(JulSun1+6)=CalendarYear,MONTH(JulSun1+6)=7),JulSun1+6,""),IF(AND(YEAR(JulSun1+13)=CalendarYear,MONTH(JulSun1+13)=7),JulSun1+13,""))</f>
        <v>41097</v>
      </c>
      <c r="H7" s="18">
        <f>IF(DAY(JulSun1)=1,IF(AND(YEAR(JulSun1+7)=CalendarYear,MONTH(JulSun1+7)=7),JulSun1+7,""),IF(AND(YEAR(JulSun1+14)=CalendarYear,MONTH(JulSun1+14)=7),JulSun1+14,""))</f>
        <v>41098</v>
      </c>
      <c r="I7" s="3"/>
    </row>
    <row r="8" spans="1:18" ht="55.5" customHeight="1">
      <c r="A8"/>
      <c r="B8" s="12"/>
      <c r="C8" s="12"/>
      <c r="D8" s="12"/>
      <c r="E8" s="12"/>
      <c r="F8" s="12"/>
      <c r="G8" s="13"/>
      <c r="H8" s="13"/>
      <c r="I8" s="3"/>
    </row>
    <row r="9" spans="1:18" ht="15" customHeight="1">
      <c r="A9"/>
      <c r="B9" s="19">
        <f>IF(DAY(JulSun1)=1,IF(AND(YEAR(JulSun1+8)=CalendarYear,MONTH(JulSun1+8)=7),JulSun1+8,""),IF(AND(YEAR(JulSun1+15)=CalendarYear,MONTH(JulSun1+15)=7),JulSun1+15,""))</f>
        <v>41099</v>
      </c>
      <c r="C9" s="19">
        <f>IF(DAY(JulSun1)=1,IF(AND(YEAR(JulSun1+9)=CalendarYear,MONTH(JulSun1+9)=7),JulSun1+9,""),IF(AND(YEAR(JulSun1+16)=CalendarYear,MONTH(JulSun1+16)=7),JulSun1+16,""))</f>
        <v>41100</v>
      </c>
      <c r="D9" s="19">
        <f>IF(DAY(JulSun1)=1,IF(AND(YEAR(JulSun1+10)=CalendarYear,MONTH(JulSun1+10)=7),JulSun1+10,""),IF(AND(YEAR(JulSun1+17)=CalendarYear,MONTH(JulSun1+17)=7),JulSun1+17,""))</f>
        <v>41101</v>
      </c>
      <c r="E9" s="19">
        <f>IF(DAY(JulSun1)=1,IF(AND(YEAR(JulSun1+11)=CalendarYear,MONTH(JulSun1+11)=7),JulSun1+11,""),IF(AND(YEAR(JulSun1+18)=CalendarYear,MONTH(JulSun1+18)=7),JulSun1+18,""))</f>
        <v>41102</v>
      </c>
      <c r="F9" s="19">
        <f>IF(DAY(JulSun1)=1,IF(AND(YEAR(JulSun1+12)=CalendarYear,MONTH(JulSun1+12)=7),JulSun1+12,""),IF(AND(YEAR(JulSun1+19)=CalendarYear,MONTH(JulSun1+19)=7),JulSun1+19,""))</f>
        <v>41103</v>
      </c>
      <c r="G9" s="19">
        <f>IF(DAY(JulSun1)=1,IF(AND(YEAR(JulSun1+13)=CalendarYear,MONTH(JulSun1+13)=7),JulSun1+13,""),IF(AND(YEAR(JulSun1+20)=CalendarYear,MONTH(JulSun1+20)=7),JulSun1+20,""))</f>
        <v>41104</v>
      </c>
      <c r="H9" s="19">
        <f>IF(DAY(JulSun1)=1,IF(AND(YEAR(JulSun1+14)=CalendarYear,MONTH(JulSun1+14)=7),JulSun1+14,""),IF(AND(YEAR(JulSun1+21)=CalendarYear,MONTH(JulSun1+21)=7),JulSun1+21,""))</f>
        <v>41105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IF(DAY(JulSun1)=1,IF(AND(YEAR(JulSun1+15)=CalendarYear,MONTH(JulSun1+15)=7),JulSun1+15,""),IF(AND(YEAR(JulSun1+22)=CalendarYear,MONTH(JulSun1+22)=7),JulSun1+22,""))</f>
        <v>41106</v>
      </c>
      <c r="C11" s="20">
        <f>IF(DAY(JulSun1)=1,IF(AND(YEAR(JulSun1+16)=CalendarYear,MONTH(JulSun1+16)=7),JulSun1+16,""),IF(AND(YEAR(JulSun1+23)=CalendarYear,MONTH(JulSun1+23)=7),JulSun1+23,""))</f>
        <v>41107</v>
      </c>
      <c r="D11" s="20">
        <f>IF(DAY(JulSun1)=1,IF(AND(YEAR(JulSun1+17)=CalendarYear,MONTH(JulSun1+17)=7),JulSun1+17,""),IF(AND(YEAR(JulSun1+24)=CalendarYear,MONTH(JulSun1+24)=7),JulSun1+24,""))</f>
        <v>41108</v>
      </c>
      <c r="E11" s="20">
        <f>IF(DAY(JulSun1)=1,IF(AND(YEAR(JulSun1+18)=CalendarYear,MONTH(JulSun1+18)=7),JulSun1+18,""),IF(AND(YEAR(JulSun1+25)=CalendarYear,MONTH(JulSun1+25)=7),JulSun1+25,""))</f>
        <v>41109</v>
      </c>
      <c r="F11" s="20">
        <f>IF(DAY(JulSun1)=1,IF(AND(YEAR(JulSun1+19)=CalendarYear,MONTH(JulSun1+19)=7),JulSun1+19,""),IF(AND(YEAR(JulSun1+26)=CalendarYear,MONTH(JulSun1+26)=7),JulSun1+26,""))</f>
        <v>41110</v>
      </c>
      <c r="G11" s="20">
        <f>IF(DAY(JulSun1)=1,IF(AND(YEAR(JulSun1+20)=CalendarYear,MONTH(JulSun1+20)=7),JulSun1+20,""),IF(AND(YEAR(JulSun1+27)=CalendarYear,MONTH(JulSun1+27)=7),JulSun1+27,""))</f>
        <v>41111</v>
      </c>
      <c r="H11" s="20">
        <f>IF(DAY(JulSun1)=1,IF(AND(YEAR(JulSun1+21)=CalendarYear,MONTH(JulSun1+21)=7),JulSun1+21,""),IF(AND(YEAR(JulSun1+28)=CalendarYear,MONTH(JulSun1+28)=7),JulSun1+28,""))</f>
        <v>41112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IF(DAY(JulSun1)=1,IF(AND(YEAR(JulSun1+22)=CalendarYear,MONTH(JulSun1+22)=7),JulSun1+22,""),IF(AND(YEAR(JulSun1+29)=CalendarYear,MONTH(JulSun1+29)=7),JulSun1+29,""))</f>
        <v>41113</v>
      </c>
      <c r="C13" s="19">
        <f>IF(DAY(JulSun1)=1,IF(AND(YEAR(JulSun1+23)=CalendarYear,MONTH(JulSun1+23)=7),JulSun1+23,""),IF(AND(YEAR(JulSun1+30)=CalendarYear,MONTH(JulSun1+30)=7),JulSun1+30,""))</f>
        <v>41114</v>
      </c>
      <c r="D13" s="19">
        <f>IF(DAY(JulSun1)=1,IF(AND(YEAR(JulSun1+24)=CalendarYear,MONTH(JulSun1+24)=7),JulSun1+24,""),IF(AND(YEAR(JulSun1+31)=CalendarYear,MONTH(JulSun1+31)=7),JulSun1+31,""))</f>
        <v>41115</v>
      </c>
      <c r="E13" s="19">
        <f>IF(DAY(JulSun1)=1,IF(AND(YEAR(JulSun1+25)=CalendarYear,MONTH(JulSun1+25)=7),JulSun1+25,""),IF(AND(YEAR(JulSun1+32)=CalendarYear,MONTH(JulSun1+32)=7),JulSun1+32,""))</f>
        <v>41116</v>
      </c>
      <c r="F13" s="19">
        <f>IF(DAY(JulSun1)=1,IF(AND(YEAR(JulSun1+26)=CalendarYear,MONTH(JulSun1+26)=7),JulSun1+26,""),IF(AND(YEAR(JulSun1+33)=CalendarYear,MONTH(JulSun1+33)=7),JulSun1+33,""))</f>
        <v>41117</v>
      </c>
      <c r="G13" s="19">
        <f>IF(DAY(JulSun1)=1,IF(AND(YEAR(JulSun1+27)=CalendarYear,MONTH(JulSun1+27)=7),JulSun1+27,""),IF(AND(YEAR(JulSun1+34)=CalendarYear,MONTH(JulSun1+34)=7),JulSun1+34,""))</f>
        <v>41118</v>
      </c>
      <c r="H13" s="19">
        <f>IF(DAY(JulSun1)=1,IF(AND(YEAR(JulSun1+28)=CalendarYear,MONTH(JulSun1+28)=7),JulSun1+28,""),IF(AND(YEAR(JulSun1+35)=CalendarYear,MONTH(JulSun1+35)=7),JulSun1+35,""))</f>
        <v>41119</v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>
        <f>IF(DAY(JulSun1)=1,IF(AND(YEAR(JulSun1+29)=CalendarYear,MONTH(JulSun1+29)=7),JulSun1+29,""),IF(AND(YEAR(JulSun1+36)=CalendarYear,MONTH(JulSun1+36)=7),JulSun1+36,""))</f>
        <v>41120</v>
      </c>
      <c r="C15" s="21">
        <f>IF(DAY(JulSun1)=1,IF(AND(YEAR(JulSun1+30)=CalendarYear,MONTH(JulSun1+30)=7),JulSun1+30,""),IF(AND(YEAR(JulSun1+37)=CalendarYear,MONTH(JulSun1+37)=7),JulSun1+37,""))</f>
        <v>41121</v>
      </c>
      <c r="D15" s="25" t="s">
        <v>7</v>
      </c>
      <c r="E15" s="26"/>
      <c r="F15" s="26"/>
      <c r="G15" s="26"/>
      <c r="H15" s="27"/>
      <c r="I15" s="3"/>
    </row>
    <row r="16" spans="1:18" ht="55.5" customHeight="1">
      <c r="A16"/>
      <c r="B16" s="12"/>
      <c r="C16" s="12"/>
      <c r="D16" s="22"/>
      <c r="E16" s="23"/>
      <c r="F16" s="23"/>
      <c r="G16" s="23"/>
      <c r="H16" s="24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0" orientation="landscape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J7" sqref="J7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</row>
    <row r="2" spans="1:18" ht="26.25" customHeight="1">
      <c r="A2"/>
    </row>
    <row r="3" spans="1:18" ht="57.75" customHeight="1">
      <c r="A3"/>
      <c r="B3" s="28" t="str">
        <f>UPPER(TEXT(DATE(CalendarYear,8,1),"mmmm yyyy"))</f>
        <v>AUGUST 2012</v>
      </c>
      <c r="C3" s="28"/>
      <c r="D3" s="28"/>
      <c r="E3" s="28"/>
      <c r="F3" s="28"/>
    </row>
    <row r="4" spans="1:18" customFormat="1" ht="29.25" customHeight="1">
      <c r="B4" s="14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6" t="s">
        <v>6</v>
      </c>
      <c r="I4" s="1"/>
      <c r="J4" s="1"/>
      <c r="L4" s="1"/>
      <c r="M4" s="7"/>
      <c r="Q4" s="1"/>
      <c r="R4" s="1"/>
    </row>
    <row r="5" spans="1:18" customFormat="1" ht="15" customHeight="1">
      <c r="B5" s="17" t="str">
        <f>IF(DAY(AugSun1)=1,"",IF(AND(YEAR(AugSun1+1)=CalendarYear,MONTH(AugSun1+1)=8),AugSun1+1,""))</f>
        <v/>
      </c>
      <c r="C5" s="17" t="str">
        <f>IF(DAY(AugSun1)=1,"",IF(AND(YEAR(AugSun1+2)=CalendarYear,MONTH(AugSun1+2)=8),AugSun1+2,""))</f>
        <v/>
      </c>
      <c r="D5" s="17">
        <f>IF(DAY(AugSun1)=1,"",IF(AND(YEAR(AugSun1+3)=CalendarYear,MONTH(AugSun1+3)=8),AugSun1+3,""))</f>
        <v>41122</v>
      </c>
      <c r="E5" s="17">
        <f>IF(DAY(AugSun1)=1,"",IF(AND(YEAR(AugSun1+4)=CalendarYear,MONTH(AugSun1+4)=8),AugSun1+4,""))</f>
        <v>41123</v>
      </c>
      <c r="F5" s="17">
        <f>IF(DAY(AugSun1)=1,"",IF(AND(YEAR(AugSun1+5)=CalendarYear,MONTH(AugSun1+5)=8),AugSun1+5,""))</f>
        <v>41124</v>
      </c>
      <c r="G5" s="17">
        <f>IF(DAY(AugSun1)=1,"",IF(AND(YEAR(AugSun1+6)=CalendarYear,MONTH(AugSun1+6)=8),AugSun1+6,""))</f>
        <v>41125</v>
      </c>
      <c r="H5" s="17">
        <f>IF(DAY(AugSun1)=1,IF(AND(YEAR(AugSun1)=CalendarYear,MONTH(AugSun1)=8),AugSun1,""),IF(AND(YEAR(AugSun1+7)=CalendarYear,MONTH(AugSun1+7)=8),AugSun1+7,""))</f>
        <v>41126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IF(DAY(AugSun1)=1,IF(AND(YEAR(AugSun1+1)=CalendarYear,MONTH(AugSun1+1)=8),AugSun1+1,""),IF(AND(YEAR(AugSun1+8)=CalendarYear,MONTH(AugSun1+8)=8),AugSun1+8,""))</f>
        <v>41127</v>
      </c>
      <c r="C7" s="18">
        <f>IF(DAY(AugSun1)=1,IF(AND(YEAR(AugSun1+2)=CalendarYear,MONTH(AugSun1+2)=8),AugSun1+2,""),IF(AND(YEAR(AugSun1+9)=CalendarYear,MONTH(AugSun1+9)=8),AugSun1+9,""))</f>
        <v>41128</v>
      </c>
      <c r="D7" s="18">
        <f>IF(DAY(AugSun1)=1,IF(AND(YEAR(AugSun1+3)=CalendarYear,MONTH(AugSun1+3)=8),AugSun1+3,""),IF(AND(YEAR(AugSun1+10)=CalendarYear,MONTH(AugSun1+10)=8),AugSun1+10,""))</f>
        <v>41129</v>
      </c>
      <c r="E7" s="18">
        <f>IF(DAY(AugSun1)=1,IF(AND(YEAR(AugSun1+4)=CalendarYear,MONTH(AugSun1+4)=8),AugSun1+4,""),IF(AND(YEAR(AugSun1+11)=CalendarYear,MONTH(AugSun1+11)=8),AugSun1+11,""))</f>
        <v>41130</v>
      </c>
      <c r="F7" s="18">
        <f>IF(DAY(AugSun1)=1,IF(AND(YEAR(AugSun1+5)=CalendarYear,MONTH(AugSun1+5)=8),AugSun1+5,""),IF(AND(YEAR(AugSun1+12)=CalendarYear,MONTH(AugSun1+12)=8),AugSun1+12,""))</f>
        <v>41131</v>
      </c>
      <c r="G7" s="18">
        <f>IF(DAY(AugSun1)=1,IF(AND(YEAR(AugSun1+6)=CalendarYear,MONTH(AugSun1+6)=8),AugSun1+6,""),IF(AND(YEAR(AugSun1+13)=CalendarYear,MONTH(AugSun1+13)=8),AugSun1+13,""))</f>
        <v>41132</v>
      </c>
      <c r="H7" s="18">
        <f>IF(DAY(AugSun1)=1,IF(AND(YEAR(AugSun1+7)=CalendarYear,MONTH(AugSun1+7)=8),AugSun1+7,""),IF(AND(YEAR(AugSun1+14)=CalendarYear,MONTH(AugSun1+14)=8),AugSun1+14,""))</f>
        <v>41133</v>
      </c>
      <c r="I7" s="3"/>
    </row>
    <row r="8" spans="1:18" ht="55.5" customHeight="1">
      <c r="A8"/>
      <c r="B8" s="12"/>
      <c r="C8" s="12"/>
      <c r="D8" s="12"/>
      <c r="E8" s="12"/>
      <c r="F8" s="12"/>
      <c r="G8" s="13"/>
      <c r="H8" s="13"/>
      <c r="I8" s="3"/>
    </row>
    <row r="9" spans="1:18" ht="15" customHeight="1">
      <c r="A9"/>
      <c r="B9" s="19">
        <f>IF(DAY(AugSun1)=1,IF(AND(YEAR(AugSun1+8)=CalendarYear,MONTH(AugSun1+8)=8),AugSun1+8,""),IF(AND(YEAR(AugSun1+15)=CalendarYear,MONTH(AugSun1+15)=8),AugSun1+15,""))</f>
        <v>41134</v>
      </c>
      <c r="C9" s="19">
        <f>IF(DAY(AugSun1)=1,IF(AND(YEAR(AugSun1+9)=CalendarYear,MONTH(AugSun1+9)=8),AugSun1+9,""),IF(AND(YEAR(AugSun1+16)=CalendarYear,MONTH(AugSun1+16)=8),AugSun1+16,""))</f>
        <v>41135</v>
      </c>
      <c r="D9" s="19">
        <f>IF(DAY(AugSun1)=1,IF(AND(YEAR(AugSun1+10)=CalendarYear,MONTH(AugSun1+10)=8),AugSun1+10,""),IF(AND(YEAR(AugSun1+17)=CalendarYear,MONTH(AugSun1+17)=8),AugSun1+17,""))</f>
        <v>41136</v>
      </c>
      <c r="E9" s="19">
        <f>IF(DAY(AugSun1)=1,IF(AND(YEAR(AugSun1+11)=CalendarYear,MONTH(AugSun1+11)=8),AugSun1+11,""),IF(AND(YEAR(AugSun1+18)=CalendarYear,MONTH(AugSun1+18)=8),AugSun1+18,""))</f>
        <v>41137</v>
      </c>
      <c r="F9" s="19">
        <f>IF(DAY(AugSun1)=1,IF(AND(YEAR(AugSun1+12)=CalendarYear,MONTH(AugSun1+12)=8),AugSun1+12,""),IF(AND(YEAR(AugSun1+19)=CalendarYear,MONTH(AugSun1+19)=8),AugSun1+19,""))</f>
        <v>41138</v>
      </c>
      <c r="G9" s="19">
        <f>IF(DAY(AugSun1)=1,IF(AND(YEAR(AugSun1+13)=CalendarYear,MONTH(AugSun1+13)=8),AugSun1+13,""),IF(AND(YEAR(AugSun1+20)=CalendarYear,MONTH(AugSun1+20)=8),AugSun1+20,""))</f>
        <v>41139</v>
      </c>
      <c r="H9" s="19">
        <f>IF(DAY(AugSun1)=1,IF(AND(YEAR(AugSun1+14)=CalendarYear,MONTH(AugSun1+14)=8),AugSun1+14,""),IF(AND(YEAR(AugSun1+21)=CalendarYear,MONTH(AugSun1+21)=8),AugSun1+21,""))</f>
        <v>41140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IF(DAY(AugSun1)=1,IF(AND(YEAR(AugSun1+15)=CalendarYear,MONTH(AugSun1+15)=8),AugSun1+15,""),IF(AND(YEAR(AugSun1+22)=CalendarYear,MONTH(AugSun1+22)=8),AugSun1+22,""))</f>
        <v>41141</v>
      </c>
      <c r="C11" s="20">
        <f>IF(DAY(AugSun1)=1,IF(AND(YEAR(AugSun1+16)=CalendarYear,MONTH(AugSun1+16)=8),AugSun1+16,""),IF(AND(YEAR(AugSun1+23)=CalendarYear,MONTH(AugSun1+23)=8),AugSun1+23,""))</f>
        <v>41142</v>
      </c>
      <c r="D11" s="20">
        <f>IF(DAY(AugSun1)=1,IF(AND(YEAR(AugSun1+17)=CalendarYear,MONTH(AugSun1+17)=8),AugSun1+17,""),IF(AND(YEAR(AugSun1+24)=CalendarYear,MONTH(AugSun1+24)=8),AugSun1+24,""))</f>
        <v>41143</v>
      </c>
      <c r="E11" s="20">
        <f>IF(DAY(AugSun1)=1,IF(AND(YEAR(AugSun1+18)=CalendarYear,MONTH(AugSun1+18)=8),AugSun1+18,""),IF(AND(YEAR(AugSun1+25)=CalendarYear,MONTH(AugSun1+25)=8),AugSun1+25,""))</f>
        <v>41144</v>
      </c>
      <c r="F11" s="20">
        <f>IF(DAY(AugSun1)=1,IF(AND(YEAR(AugSun1+19)=CalendarYear,MONTH(AugSun1+19)=8),AugSun1+19,""),IF(AND(YEAR(AugSun1+26)=CalendarYear,MONTH(AugSun1+26)=8),AugSun1+26,""))</f>
        <v>41145</v>
      </c>
      <c r="G11" s="20">
        <f>IF(DAY(AugSun1)=1,IF(AND(YEAR(AugSun1+20)=CalendarYear,MONTH(AugSun1+20)=8),AugSun1+20,""),IF(AND(YEAR(AugSun1+27)=CalendarYear,MONTH(AugSun1+27)=8),AugSun1+27,""))</f>
        <v>41146</v>
      </c>
      <c r="H11" s="20">
        <f>IF(DAY(AugSun1)=1,IF(AND(YEAR(AugSun1+21)=CalendarYear,MONTH(AugSun1+21)=8),AugSun1+21,""),IF(AND(YEAR(AugSun1+28)=CalendarYear,MONTH(AugSun1+28)=8),AugSun1+28,""))</f>
        <v>41147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IF(DAY(AugSun1)=1,IF(AND(YEAR(AugSun1+22)=CalendarYear,MONTH(AugSun1+22)=8),AugSun1+22,""),IF(AND(YEAR(AugSun1+29)=CalendarYear,MONTH(AugSun1+29)=8),AugSun1+29,""))</f>
        <v>41148</v>
      </c>
      <c r="C13" s="19">
        <f>IF(DAY(AugSun1)=1,IF(AND(YEAR(AugSun1+23)=CalendarYear,MONTH(AugSun1+23)=8),AugSun1+23,""),IF(AND(YEAR(AugSun1+30)=CalendarYear,MONTH(AugSun1+30)=8),AugSun1+30,""))</f>
        <v>41149</v>
      </c>
      <c r="D13" s="19">
        <f>IF(DAY(AugSun1)=1,IF(AND(YEAR(AugSun1+24)=CalendarYear,MONTH(AugSun1+24)=8),AugSun1+24,""),IF(AND(YEAR(AugSun1+31)=CalendarYear,MONTH(AugSun1+31)=8),AugSun1+31,""))</f>
        <v>41150</v>
      </c>
      <c r="E13" s="19">
        <f>IF(DAY(AugSun1)=1,IF(AND(YEAR(AugSun1+25)=CalendarYear,MONTH(AugSun1+25)=8),AugSun1+25,""),IF(AND(YEAR(AugSun1+32)=CalendarYear,MONTH(AugSun1+32)=8),AugSun1+32,""))</f>
        <v>41151</v>
      </c>
      <c r="F13" s="19">
        <f>IF(DAY(AugSun1)=1,IF(AND(YEAR(AugSun1+26)=CalendarYear,MONTH(AugSun1+26)=8),AugSun1+26,""),IF(AND(YEAR(AugSun1+33)=CalendarYear,MONTH(AugSun1+33)=8),AugSun1+33,""))</f>
        <v>41152</v>
      </c>
      <c r="G13" s="19" t="str">
        <f>IF(DAY(AugSun1)=1,IF(AND(YEAR(AugSun1+27)=CalendarYear,MONTH(AugSun1+27)=8),AugSun1+27,""),IF(AND(YEAR(AugSun1+34)=CalendarYear,MONTH(AugSun1+34)=8),AugSun1+34,""))</f>
        <v/>
      </c>
      <c r="H13" s="19" t="str">
        <f>IF(DAY(AugSun1)=1,IF(AND(YEAR(AugSun1+28)=CalendarYear,MONTH(AugSun1+28)=8),AugSun1+28,""),IF(AND(YEAR(AugSun1+35)=CalendarYear,MONTH(AugSun1+35)=8),AugSun1+35,""))</f>
        <v/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 t="str">
        <f>IF(DAY(AugSun1)=1,IF(AND(YEAR(AugSun1+29)=CalendarYear,MONTH(AugSun1+29)=8),AugSun1+29,""),IF(AND(YEAR(AugSun1+36)=CalendarYear,MONTH(AugSun1+36)=8),AugSun1+36,""))</f>
        <v/>
      </c>
      <c r="C15" s="21" t="str">
        <f>IF(DAY(AugSun1)=1,IF(AND(YEAR(AugSun1+30)=CalendarYear,MONTH(AugSun1+30)=8),AugSun1+30,""),IF(AND(YEAR(AugSun1+37)=CalendarYear,MONTH(AugSun1+37)=8),AugSun1+37,""))</f>
        <v/>
      </c>
      <c r="D15" s="25" t="s">
        <v>7</v>
      </c>
      <c r="E15" s="26"/>
      <c r="F15" s="26"/>
      <c r="G15" s="26"/>
      <c r="H15" s="27"/>
      <c r="I15" s="3"/>
    </row>
    <row r="16" spans="1:18" ht="55.5" customHeight="1">
      <c r="A16"/>
      <c r="B16" s="12"/>
      <c r="C16" s="12"/>
      <c r="D16" s="22"/>
      <c r="E16" s="23"/>
      <c r="F16" s="23"/>
      <c r="G16" s="23"/>
      <c r="H16" s="24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0" orientation="landscape" r:id="rId1"/>
  <headerFooter scaleWithDoc="0"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J10" sqref="J10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</row>
    <row r="2" spans="1:18" ht="26.25" customHeight="1">
      <c r="A2"/>
    </row>
    <row r="3" spans="1:18" ht="57.75" customHeight="1">
      <c r="A3"/>
      <c r="B3" s="28" t="str">
        <f>UPPER(TEXT(DATE(CalendarYear,9,1),"mmmm yyyy"))</f>
        <v>SEPTEMBER 2012</v>
      </c>
      <c r="C3" s="28"/>
      <c r="D3" s="28"/>
      <c r="E3" s="28"/>
      <c r="F3" s="28"/>
    </row>
    <row r="4" spans="1:18" customFormat="1" ht="29.25" customHeight="1">
      <c r="B4" s="14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6" t="s">
        <v>6</v>
      </c>
      <c r="I4" s="1"/>
      <c r="J4" s="1"/>
      <c r="L4" s="1"/>
      <c r="M4" s="7"/>
      <c r="Q4" s="1"/>
      <c r="R4" s="1"/>
    </row>
    <row r="5" spans="1:18" customFormat="1" ht="15" customHeight="1">
      <c r="B5" s="17" t="str">
        <f>IF(DAY(SepSun1)=1,"",IF(AND(YEAR(SepSun1+1)=CalendarYear,MONTH(SepSun1+1)=9),SepSun1+1,""))</f>
        <v/>
      </c>
      <c r="C5" s="17" t="str">
        <f>IF(DAY(SepSun1)=1,"",IF(AND(YEAR(SepSun1+2)=CalendarYear,MONTH(SepSun1+2)=9),SepSun1+2,""))</f>
        <v/>
      </c>
      <c r="D5" s="17" t="str">
        <f>IF(DAY(SepSun1)=1,"",IF(AND(YEAR(SepSun1+3)=CalendarYear,MONTH(SepSun1+3)=9),SepSun1+3,""))</f>
        <v/>
      </c>
      <c r="E5" s="17" t="str">
        <f>IF(DAY(SepSun1)=1,"",IF(AND(YEAR(SepSun1+4)=CalendarYear,MONTH(SepSun1+4)=9),SepSun1+4,""))</f>
        <v/>
      </c>
      <c r="F5" s="17" t="str">
        <f>IF(DAY(SepSun1)=1,"",IF(AND(YEAR(SepSun1+5)=CalendarYear,MONTH(SepSun1+5)=9),SepSun1+5,""))</f>
        <v/>
      </c>
      <c r="G5" s="17">
        <f>IF(DAY(SepSun1)=1,"",IF(AND(YEAR(SepSun1+6)=CalendarYear,MONTH(SepSun1+6)=9),SepSun1+6,""))</f>
        <v>41153</v>
      </c>
      <c r="H5" s="17">
        <f>IF(DAY(SepSun1)=1,IF(AND(YEAR(SepSun1)=CalendarYear,MONTH(SepSun1)=9),SepSun1,""),IF(AND(YEAR(SepSun1+7)=CalendarYear,MONTH(SepSun1+7)=9),SepSun1+7,""))</f>
        <v>41154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IF(DAY(SepSun1)=1,IF(AND(YEAR(SepSun1+1)=CalendarYear,MONTH(SepSun1+1)=9),SepSun1+1,""),IF(AND(YEAR(SepSun1+8)=CalendarYear,MONTH(SepSun1+8)=9),SepSun1+8,""))</f>
        <v>41155</v>
      </c>
      <c r="C7" s="18">
        <f>IF(DAY(SepSun1)=1,IF(AND(YEAR(SepSun1+2)=CalendarYear,MONTH(SepSun1+2)=9),SepSun1+2,""),IF(AND(YEAR(SepSun1+9)=CalendarYear,MONTH(SepSun1+9)=9),SepSun1+9,""))</f>
        <v>41156</v>
      </c>
      <c r="D7" s="18">
        <f>IF(DAY(SepSun1)=1,IF(AND(YEAR(SepSun1+3)=CalendarYear,MONTH(SepSun1+3)=9),SepSun1+3,""),IF(AND(YEAR(SepSun1+10)=CalendarYear,MONTH(SepSun1+10)=9),SepSun1+10,""))</f>
        <v>41157</v>
      </c>
      <c r="E7" s="18">
        <f>IF(DAY(SepSun1)=1,IF(AND(YEAR(SepSun1+4)=CalendarYear,MONTH(SepSun1+4)=9),SepSun1+4,""),IF(AND(YEAR(SepSun1+11)=CalendarYear,MONTH(SepSun1+11)=9),SepSun1+11,""))</f>
        <v>41158</v>
      </c>
      <c r="F7" s="18">
        <f>IF(DAY(SepSun1)=1,IF(AND(YEAR(SepSun1+5)=CalendarYear,MONTH(SepSun1+5)=9),SepSun1+5,""),IF(AND(YEAR(SepSun1+12)=CalendarYear,MONTH(SepSun1+12)=9),SepSun1+12,""))</f>
        <v>41159</v>
      </c>
      <c r="G7" s="18">
        <f>IF(DAY(SepSun1)=1,IF(AND(YEAR(SepSun1+6)=CalendarYear,MONTH(SepSun1+6)=9),SepSun1+6,""),IF(AND(YEAR(SepSun1+13)=CalendarYear,MONTH(SepSun1+13)=9),SepSun1+13,""))</f>
        <v>41160</v>
      </c>
      <c r="H7" s="18">
        <f>IF(DAY(SepSun1)=1,IF(AND(YEAR(SepSun1+7)=CalendarYear,MONTH(SepSun1+7)=9),SepSun1+7,""),IF(AND(YEAR(SepSun1+14)=CalendarYear,MONTH(SepSun1+14)=9),SepSun1+14,""))</f>
        <v>41161</v>
      </c>
      <c r="I7" s="3"/>
    </row>
    <row r="8" spans="1:18" ht="55.5" customHeight="1">
      <c r="A8"/>
      <c r="B8" s="12"/>
      <c r="C8" s="12"/>
      <c r="D8" s="12"/>
      <c r="E8" s="12"/>
      <c r="F8" s="12"/>
      <c r="G8" s="13"/>
      <c r="H8" s="13"/>
      <c r="I8" s="3"/>
    </row>
    <row r="9" spans="1:18" ht="15" customHeight="1">
      <c r="A9"/>
      <c r="B9" s="19">
        <f>IF(DAY(SepSun1)=1,IF(AND(YEAR(SepSun1+8)=CalendarYear,MONTH(SepSun1+8)=9),SepSun1+8,""),IF(AND(YEAR(SepSun1+15)=CalendarYear,MONTH(SepSun1+15)=9),SepSun1+15,""))</f>
        <v>41162</v>
      </c>
      <c r="C9" s="19">
        <f>IF(DAY(SepSun1)=1,IF(AND(YEAR(SepSun1+9)=CalendarYear,MONTH(SepSun1+9)=9),SepSun1+9,""),IF(AND(YEAR(SepSun1+16)=CalendarYear,MONTH(SepSun1+16)=9),SepSun1+16,""))</f>
        <v>41163</v>
      </c>
      <c r="D9" s="19">
        <f>IF(DAY(SepSun1)=1,IF(AND(YEAR(SepSun1+10)=CalendarYear,MONTH(SepSun1+10)=9),SepSun1+10,""),IF(AND(YEAR(SepSun1+17)=CalendarYear,MONTH(SepSun1+17)=9),SepSun1+17,""))</f>
        <v>41164</v>
      </c>
      <c r="E9" s="19">
        <f>IF(DAY(SepSun1)=1,IF(AND(YEAR(SepSun1+11)=CalendarYear,MONTH(SepSun1+11)=9),SepSun1+11,""),IF(AND(YEAR(SepSun1+18)=CalendarYear,MONTH(SepSun1+18)=9),SepSun1+18,""))</f>
        <v>41165</v>
      </c>
      <c r="F9" s="19">
        <f>IF(DAY(SepSun1)=1,IF(AND(YEAR(SepSun1+12)=CalendarYear,MONTH(SepSun1+12)=9),SepSun1+12,""),IF(AND(YEAR(SepSun1+19)=CalendarYear,MONTH(SepSun1+19)=9),SepSun1+19,""))</f>
        <v>41166</v>
      </c>
      <c r="G9" s="19">
        <f>IF(DAY(SepSun1)=1,IF(AND(YEAR(SepSun1+13)=CalendarYear,MONTH(SepSun1+13)=9),SepSun1+13,""),IF(AND(YEAR(SepSun1+20)=CalendarYear,MONTH(SepSun1+20)=9),SepSun1+20,""))</f>
        <v>41167</v>
      </c>
      <c r="H9" s="19">
        <f>IF(DAY(SepSun1)=1,IF(AND(YEAR(SepSun1+14)=CalendarYear,MONTH(SepSun1+14)=9),SepSun1+14,""),IF(AND(YEAR(SepSun1+21)=CalendarYear,MONTH(SepSun1+21)=9),SepSun1+21,""))</f>
        <v>41168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IF(DAY(SepSun1)=1,IF(AND(YEAR(SepSun1+15)=CalendarYear,MONTH(SepSun1+15)=9),SepSun1+15,""),IF(AND(YEAR(SepSun1+22)=CalendarYear,MONTH(SepSun1+22)=9),SepSun1+22,""))</f>
        <v>41169</v>
      </c>
      <c r="C11" s="20">
        <f>IF(DAY(SepSun1)=1,IF(AND(YEAR(SepSun1+16)=CalendarYear,MONTH(SepSun1+16)=9),SepSun1+16,""),IF(AND(YEAR(SepSun1+23)=CalendarYear,MONTH(SepSun1+23)=9),SepSun1+23,""))</f>
        <v>41170</v>
      </c>
      <c r="D11" s="20">
        <f>IF(DAY(SepSun1)=1,IF(AND(YEAR(SepSun1+17)=CalendarYear,MONTH(SepSun1+17)=9),SepSun1+17,""),IF(AND(YEAR(SepSun1+24)=CalendarYear,MONTH(SepSun1+24)=9),SepSun1+24,""))</f>
        <v>41171</v>
      </c>
      <c r="E11" s="20">
        <f>IF(DAY(SepSun1)=1,IF(AND(YEAR(SepSun1+18)=CalendarYear,MONTH(SepSun1+18)=9),SepSun1+18,""),IF(AND(YEAR(SepSun1+25)=CalendarYear,MONTH(SepSun1+25)=9),SepSun1+25,""))</f>
        <v>41172</v>
      </c>
      <c r="F11" s="20">
        <f>IF(DAY(SepSun1)=1,IF(AND(YEAR(SepSun1+19)=CalendarYear,MONTH(SepSun1+19)=9),SepSun1+19,""),IF(AND(YEAR(SepSun1+26)=CalendarYear,MONTH(SepSun1+26)=9),SepSun1+26,""))</f>
        <v>41173</v>
      </c>
      <c r="G11" s="20">
        <f>IF(DAY(SepSun1)=1,IF(AND(YEAR(SepSun1+20)=CalendarYear,MONTH(SepSun1+20)=9),SepSun1+20,""),IF(AND(YEAR(SepSun1+27)=CalendarYear,MONTH(SepSun1+27)=9),SepSun1+27,""))</f>
        <v>41174</v>
      </c>
      <c r="H11" s="20">
        <f>IF(DAY(SepSun1)=1,IF(AND(YEAR(SepSun1+21)=CalendarYear,MONTH(SepSun1+21)=9),SepSun1+21,""),IF(AND(YEAR(SepSun1+28)=CalendarYear,MONTH(SepSun1+28)=9),SepSun1+28,""))</f>
        <v>41175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IF(DAY(SepSun1)=1,IF(AND(YEAR(SepSun1+22)=CalendarYear,MONTH(SepSun1+22)=9),SepSun1+22,""),IF(AND(YEAR(SepSun1+29)=CalendarYear,MONTH(SepSun1+29)=9),SepSun1+29,""))</f>
        <v>41176</v>
      </c>
      <c r="C13" s="19">
        <f>IF(DAY(SepSun1)=1,IF(AND(YEAR(SepSun1+23)=CalendarYear,MONTH(SepSun1+23)=9),SepSun1+23,""),IF(AND(YEAR(SepSun1+30)=CalendarYear,MONTH(SepSun1+30)=9),SepSun1+30,""))</f>
        <v>41177</v>
      </c>
      <c r="D13" s="19">
        <f>IF(DAY(SepSun1)=1,IF(AND(YEAR(SepSun1+24)=CalendarYear,MONTH(SepSun1+24)=9),SepSun1+24,""),IF(AND(YEAR(SepSun1+31)=CalendarYear,MONTH(SepSun1+31)=9),SepSun1+31,""))</f>
        <v>41178</v>
      </c>
      <c r="E13" s="19">
        <f>IF(DAY(SepSun1)=1,IF(AND(YEAR(SepSun1+25)=CalendarYear,MONTH(SepSun1+25)=9),SepSun1+25,""),IF(AND(YEAR(SepSun1+32)=CalendarYear,MONTH(SepSun1+32)=9),SepSun1+32,""))</f>
        <v>41179</v>
      </c>
      <c r="F13" s="19">
        <f>IF(DAY(SepSun1)=1,IF(AND(YEAR(SepSun1+26)=CalendarYear,MONTH(SepSun1+26)=9),SepSun1+26,""),IF(AND(YEAR(SepSun1+33)=CalendarYear,MONTH(SepSun1+33)=9),SepSun1+33,""))</f>
        <v>41180</v>
      </c>
      <c r="G13" s="19">
        <f>IF(DAY(SepSun1)=1,IF(AND(YEAR(SepSun1+27)=CalendarYear,MONTH(SepSun1+27)=9),SepSun1+27,""),IF(AND(YEAR(SepSun1+34)=CalendarYear,MONTH(SepSun1+34)=9),SepSun1+34,""))</f>
        <v>41181</v>
      </c>
      <c r="H13" s="19">
        <f>IF(DAY(SepSun1)=1,IF(AND(YEAR(SepSun1+28)=CalendarYear,MONTH(SepSun1+28)=9),SepSun1+28,""),IF(AND(YEAR(SepSun1+35)=CalendarYear,MONTH(SepSun1+35)=9),SepSun1+35,""))</f>
        <v>41182</v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 t="str">
        <f>IF(DAY(SepSun1)=1,IF(AND(YEAR(SepSun1+29)=CalendarYear,MONTH(SepSun1+29)=9),SepSun1+29,""),IF(AND(YEAR(SepSun1+36)=CalendarYear,MONTH(SepSun1+36)=9),SepSun1+36,""))</f>
        <v/>
      </c>
      <c r="C15" s="21" t="str">
        <f>IF(DAY(SepSun1)=1,IF(AND(YEAR(SepSun1+30)=CalendarYear,MONTH(SepSun1+30)=9),SepSun1+30,""),IF(AND(YEAR(SepSun1+37)=CalendarYear,MONTH(SepSun1+37)=9),SepSun1+37,""))</f>
        <v/>
      </c>
      <c r="D15" s="25" t="s">
        <v>7</v>
      </c>
      <c r="E15" s="26"/>
      <c r="F15" s="26"/>
      <c r="G15" s="26"/>
      <c r="H15" s="27"/>
      <c r="I15" s="3"/>
    </row>
    <row r="16" spans="1:18" ht="55.5" customHeight="1">
      <c r="A16"/>
      <c r="B16" s="12"/>
      <c r="C16" s="12"/>
      <c r="D16" s="22"/>
      <c r="E16" s="23"/>
      <c r="F16" s="23"/>
      <c r="G16" s="23"/>
      <c r="H16" s="24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0" orientation="landscape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35FE055-26FF-4389-A30B-04D76EE521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</vt:i4>
      </vt:variant>
    </vt:vector>
  </HeadingPairs>
  <TitlesOfParts>
    <vt:vector size="25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CalendarYear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2012-03-01T00:14:31Z</dcterms:created>
  <dcterms:modified xsi:type="dcterms:W3CDTF">2012-03-01T00:24:14Z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TC025507569991</vt:lpwstr>
  </property>
</Properties>
</file>